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brown\Desktop\CreteRx\"/>
    </mc:Choice>
  </mc:AlternateContent>
  <bookViews>
    <workbookView xWindow="0" yWindow="0" windowWidth="14380" windowHeight="6350"/>
  </bookViews>
  <sheets>
    <sheet name="COST ESTIMATOR" sheetId="2" r:id="rId1"/>
    <sheet name="LABOR ESTIMATOR" sheetId="7" r:id="rId2"/>
    <sheet name="CP30 RENTAL COSTS" sheetId="6" r:id="rId3"/>
    <sheet name="ORDER FORM" sheetId="5" r:id="rId4"/>
    <sheet name="ROUTINE ONLY COST CALCULATOR" sheetId="4" r:id="rId5"/>
    <sheet name="DATA" sheetId="3" state="hidden" r:id="rId6"/>
  </sheets>
  <calcPr calcId="152511"/>
</workbook>
</file>

<file path=xl/calcChain.xml><?xml version="1.0" encoding="utf-8"?>
<calcChain xmlns="http://schemas.openxmlformats.org/spreadsheetml/2006/main">
  <c r="C8" i="7" l="1"/>
  <c r="E8" i="7" s="1"/>
  <c r="C10" i="6" l="1"/>
  <c r="C9" i="6"/>
  <c r="C8" i="6"/>
  <c r="C11" i="6" l="1"/>
  <c r="E20" i="2" l="1"/>
  <c r="I20" i="2" s="1"/>
  <c r="E19" i="2"/>
  <c r="I19" i="2" s="1"/>
  <c r="D20" i="2"/>
  <c r="D19" i="2"/>
  <c r="C20" i="2"/>
  <c r="C19" i="2"/>
  <c r="B20" i="2"/>
  <c r="B19" i="2"/>
  <c r="A36" i="2"/>
  <c r="D36" i="2" s="1"/>
  <c r="A35" i="2"/>
  <c r="E35" i="2" s="1"/>
  <c r="A34" i="2"/>
  <c r="E34" i="2" s="1"/>
  <c r="A33" i="2"/>
  <c r="D33" i="2" s="1"/>
  <c r="A32" i="2"/>
  <c r="D32" i="2" s="1"/>
  <c r="A31" i="2"/>
  <c r="E31" i="2" s="1"/>
  <c r="A30" i="2"/>
  <c r="E30" i="2" s="1"/>
  <c r="A29" i="2"/>
  <c r="D29" i="2" s="1"/>
  <c r="A28" i="2"/>
  <c r="D28" i="2" s="1"/>
  <c r="A25" i="2"/>
  <c r="E25" i="2" s="1"/>
  <c r="I25" i="2" s="1"/>
  <c r="A24" i="2"/>
  <c r="E24" i="2" s="1"/>
  <c r="I24" i="2" s="1"/>
  <c r="A23" i="2"/>
  <c r="D23" i="2" s="1"/>
  <c r="A16" i="2"/>
  <c r="D16" i="2" s="1"/>
  <c r="A15" i="2"/>
  <c r="D15" i="2" s="1"/>
  <c r="A14" i="2"/>
  <c r="E14" i="2" s="1"/>
  <c r="A13" i="2"/>
  <c r="E13" i="2" s="1"/>
  <c r="B14" i="2" l="1"/>
  <c r="B25" i="2"/>
  <c r="B35" i="2"/>
  <c r="B31" i="2"/>
  <c r="C16" i="2"/>
  <c r="C28" i="2"/>
  <c r="C33" i="2"/>
  <c r="C29" i="2"/>
  <c r="D14" i="2"/>
  <c r="D25" i="2"/>
  <c r="D35" i="2"/>
  <c r="D31" i="2"/>
  <c r="E16" i="2"/>
  <c r="I16" i="2" s="1"/>
  <c r="E28" i="2"/>
  <c r="E33" i="2"/>
  <c r="E29" i="2"/>
  <c r="B13" i="2"/>
  <c r="B24" i="2"/>
  <c r="B34" i="2"/>
  <c r="B30" i="2"/>
  <c r="C15" i="2"/>
  <c r="C23" i="2"/>
  <c r="C36" i="2"/>
  <c r="C32" i="2"/>
  <c r="D13" i="2"/>
  <c r="D24" i="2"/>
  <c r="D34" i="2"/>
  <c r="D30" i="2"/>
  <c r="E15" i="2"/>
  <c r="E23" i="2"/>
  <c r="I23" i="2" s="1"/>
  <c r="E36" i="2"/>
  <c r="E32" i="2"/>
  <c r="B16" i="2"/>
  <c r="B28" i="2"/>
  <c r="B33" i="2"/>
  <c r="B29" i="2"/>
  <c r="C14" i="2"/>
  <c r="C25" i="2"/>
  <c r="C35" i="2"/>
  <c r="C31" i="2"/>
  <c r="B15" i="2"/>
  <c r="B23" i="2"/>
  <c r="B36" i="2"/>
  <c r="B32" i="2"/>
  <c r="C13" i="2"/>
  <c r="C24" i="2"/>
  <c r="C34" i="2"/>
  <c r="C30" i="2"/>
  <c r="M4" i="3"/>
  <c r="I15" i="2" s="1"/>
  <c r="M5" i="3"/>
  <c r="I13" i="2" s="1"/>
  <c r="M6" i="3"/>
  <c r="I14" i="2" s="1"/>
  <c r="M3" i="3"/>
  <c r="H36" i="2"/>
  <c r="H35" i="2"/>
  <c r="H34" i="2"/>
  <c r="H32" i="2"/>
  <c r="H31" i="2"/>
  <c r="H30" i="2"/>
  <c r="H29" i="2"/>
  <c r="H28" i="2"/>
  <c r="F22" i="5" l="1"/>
  <c r="F23" i="5"/>
  <c r="F24" i="5"/>
  <c r="F25" i="5"/>
  <c r="F26" i="5"/>
  <c r="F27" i="5"/>
  <c r="F28" i="5"/>
  <c r="F29" i="5"/>
  <c r="R2" i="3"/>
  <c r="Q2" i="3" s="1"/>
  <c r="R3" i="3"/>
  <c r="Q3" i="3" s="1"/>
  <c r="H28" i="5"/>
  <c r="H27" i="5"/>
  <c r="R4" i="3"/>
  <c r="Q4" i="3" s="1"/>
  <c r="R5" i="3"/>
  <c r="R6" i="3"/>
  <c r="Q6" i="3" s="1"/>
  <c r="R7" i="3"/>
  <c r="Q7" i="3" s="1"/>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Q9" i="3"/>
  <c r="K33" i="3"/>
  <c r="B32" i="3"/>
  <c r="B33" i="3"/>
  <c r="B21" i="3" l="1"/>
  <c r="I21" i="3"/>
  <c r="K21" i="3"/>
  <c r="F21" i="5" l="1"/>
  <c r="H24" i="5" l="1"/>
  <c r="H21" i="5"/>
  <c r="Q19" i="3" l="1"/>
  <c r="Q14" i="3"/>
  <c r="Q21" i="3"/>
  <c r="K37" i="3"/>
  <c r="B37" i="3"/>
  <c r="K38" i="3"/>
  <c r="B38" i="3"/>
  <c r="B13" i="5"/>
  <c r="G13" i="5" s="1"/>
  <c r="B12" i="5"/>
  <c r="G12" i="5" s="1"/>
  <c r="A19" i="5"/>
  <c r="A12" i="5" l="1"/>
  <c r="A13" i="5"/>
  <c r="B13" i="3" l="1"/>
  <c r="I13" i="3"/>
  <c r="K13" i="3"/>
  <c r="I27" i="3" l="1"/>
  <c r="I28" i="3"/>
  <c r="I29" i="3"/>
  <c r="K36" i="3" l="1"/>
  <c r="K39" i="3"/>
  <c r="K40" i="3"/>
  <c r="K34" i="3"/>
  <c r="Q44" i="3"/>
  <c r="Q43" i="3"/>
  <c r="Q22" i="3"/>
  <c r="B39" i="3" l="1"/>
  <c r="B40" i="3"/>
  <c r="K35" i="3"/>
  <c r="B35" i="3"/>
  <c r="B34" i="3"/>
  <c r="B36" i="3"/>
  <c r="D19" i="4" l="1"/>
  <c r="K28" i="3"/>
  <c r="K29" i="3"/>
  <c r="I11" i="3"/>
  <c r="I12" i="3"/>
  <c r="I14" i="3"/>
  <c r="I15" i="3"/>
  <c r="I16" i="3"/>
  <c r="I17" i="3"/>
  <c r="I22" i="3"/>
  <c r="I23" i="3"/>
  <c r="I10" i="3"/>
  <c r="I4" i="3"/>
  <c r="I5" i="3"/>
  <c r="I6" i="3"/>
  <c r="I3" i="3"/>
  <c r="D25" i="4" l="1"/>
  <c r="D24" i="4"/>
  <c r="D23" i="4"/>
  <c r="E23" i="4" s="1"/>
  <c r="D22" i="4"/>
  <c r="E22" i="4" s="1"/>
  <c r="D21" i="4"/>
  <c r="E21" i="4" s="1"/>
  <c r="C8" i="4"/>
  <c r="D8" i="4" s="1"/>
  <c r="B8" i="4"/>
  <c r="C7" i="4"/>
  <c r="B7" i="4"/>
  <c r="C6" i="4"/>
  <c r="B6" i="4"/>
  <c r="D6" i="4" l="1"/>
  <c r="D7" i="4"/>
  <c r="E8" i="4"/>
  <c r="E7" i="4"/>
  <c r="E6" i="4"/>
  <c r="D10" i="4"/>
  <c r="D13" i="4" l="1"/>
  <c r="D16" i="4" s="1"/>
  <c r="D11" i="4"/>
  <c r="D14" i="4"/>
  <c r="D17" i="4" s="1"/>
  <c r="Q13" i="3" l="1"/>
  <c r="Q5" i="3"/>
  <c r="K11" i="3" l="1"/>
  <c r="K12" i="3"/>
  <c r="K14" i="3"/>
  <c r="K15" i="3"/>
  <c r="K16" i="3"/>
  <c r="K17" i="3"/>
  <c r="K22" i="3"/>
  <c r="K23" i="3"/>
  <c r="K10" i="3"/>
  <c r="K3" i="3"/>
  <c r="K4" i="3"/>
  <c r="K5" i="3"/>
  <c r="K6" i="3"/>
  <c r="Q35" i="3" l="1"/>
  <c r="Q17" i="3"/>
  <c r="Q39" i="3"/>
  <c r="Q37" i="3"/>
  <c r="Q32" i="3"/>
  <c r="Q8" i="3"/>
  <c r="Q23" i="3"/>
  <c r="Q20" i="3"/>
  <c r="Q31" i="3"/>
  <c r="Q41" i="3"/>
  <c r="Q26" i="3"/>
  <c r="Q33" i="3"/>
  <c r="Q12" i="3"/>
  <c r="Q40" i="3"/>
  <c r="Q18" i="3"/>
  <c r="Q42" i="3"/>
  <c r="Q29" i="3"/>
  <c r="Q10" i="3"/>
  <c r="Q38" i="3"/>
  <c r="Q16" i="3"/>
  <c r="Q25" i="3"/>
  <c r="Q27" i="3"/>
  <c r="Q30" i="3"/>
  <c r="Q11" i="3"/>
  <c r="Q24" i="3"/>
  <c r="Q28" i="3"/>
  <c r="Q36" i="3"/>
  <c r="Q15" i="3"/>
  <c r="Q34" i="3"/>
  <c r="B9" i="5" l="1"/>
  <c r="G9" i="5" s="1"/>
  <c r="B6" i="5"/>
  <c r="G6" i="5" s="1"/>
  <c r="B8" i="5"/>
  <c r="G8" i="5" s="1"/>
  <c r="B7" i="5"/>
  <c r="G7" i="5" s="1"/>
  <c r="B10" i="5"/>
  <c r="B22" i="3"/>
  <c r="B11" i="3"/>
  <c r="B12" i="3"/>
  <c r="B14" i="3"/>
  <c r="B15" i="3"/>
  <c r="B16" i="3"/>
  <c r="B17" i="3"/>
  <c r="B23" i="3"/>
  <c r="B10" i="3"/>
  <c r="B4" i="3"/>
  <c r="B5" i="3"/>
  <c r="B6" i="3"/>
  <c r="B3" i="3"/>
  <c r="B28" i="3"/>
  <c r="B29" i="3"/>
  <c r="B27" i="3"/>
  <c r="B29" i="5" l="1"/>
  <c r="G29" i="5" s="1"/>
  <c r="B28" i="5"/>
  <c r="G28" i="5" s="1"/>
  <c r="B25" i="5"/>
  <c r="G25" i="5" s="1"/>
  <c r="B24" i="5"/>
  <c r="G24" i="5" s="1"/>
  <c r="H33" i="2"/>
  <c r="H26" i="5" s="1"/>
  <c r="B26" i="5"/>
  <c r="G26" i="5" s="1"/>
  <c r="B23" i="5"/>
  <c r="G23" i="5" s="1"/>
  <c r="B22" i="5"/>
  <c r="G22" i="5" s="1"/>
  <c r="B27" i="5"/>
  <c r="G27" i="5" s="1"/>
  <c r="B16" i="5"/>
  <c r="G16" i="5" s="1"/>
  <c r="B18" i="5"/>
  <c r="G18" i="5" s="1"/>
  <c r="B17" i="5"/>
  <c r="G17" i="5" s="1"/>
  <c r="B21" i="5"/>
  <c r="G21" i="5" s="1"/>
  <c r="G10" i="5"/>
  <c r="H22" i="5"/>
  <c r="H29" i="5"/>
  <c r="H25" i="5"/>
  <c r="H23" i="5"/>
  <c r="A8" i="5"/>
  <c r="A7" i="5"/>
  <c r="A9" i="5"/>
  <c r="A6" i="5"/>
  <c r="A10" i="5"/>
  <c r="A17" i="5" l="1"/>
  <c r="A16" i="5"/>
  <c r="A18" i="5"/>
  <c r="F25" i="2"/>
  <c r="F24" i="2"/>
  <c r="F23" i="2"/>
  <c r="F16" i="2"/>
  <c r="A24" i="5"/>
  <c r="A28" i="5"/>
  <c r="F13" i="2"/>
  <c r="H13" i="2" s="1"/>
  <c r="A27" i="5"/>
  <c r="A22" i="5"/>
  <c r="A26" i="5"/>
  <c r="A29" i="5"/>
  <c r="F15" i="2"/>
  <c r="A23" i="5"/>
  <c r="A25" i="5"/>
  <c r="F14" i="2"/>
  <c r="A21" i="5"/>
  <c r="F20" i="2"/>
  <c r="H20" i="2" s="1"/>
  <c r="F19" i="2"/>
  <c r="F7" i="5" l="1"/>
  <c r="H14" i="2"/>
  <c r="H7" i="5" s="1"/>
  <c r="F17" i="5"/>
  <c r="H24" i="2"/>
  <c r="H17" i="5" s="1"/>
  <c r="F6" i="5"/>
  <c r="H6" i="5"/>
  <c r="F12" i="5"/>
  <c r="H19" i="2"/>
  <c r="H12" i="5" s="1"/>
  <c r="F9" i="5"/>
  <c r="H16" i="2"/>
  <c r="H9" i="5" s="1"/>
  <c r="F18" i="5"/>
  <c r="H25" i="2"/>
  <c r="H18" i="5" s="1"/>
  <c r="F8" i="5"/>
  <c r="H15" i="2"/>
  <c r="H8" i="5" s="1"/>
  <c r="F13" i="5"/>
  <c r="H13" i="5"/>
  <c r="K27" i="3"/>
  <c r="H23" i="2" l="1"/>
  <c r="F16" i="5" l="1"/>
  <c r="H16" i="5" l="1"/>
  <c r="H38" i="2"/>
  <c r="H42" i="2" s="1"/>
  <c r="H39" i="2" l="1"/>
  <c r="H31" i="5"/>
</calcChain>
</file>

<file path=xl/sharedStrings.xml><?xml version="1.0" encoding="utf-8"?>
<sst xmlns="http://schemas.openxmlformats.org/spreadsheetml/2006/main" count="639" uniqueCount="340">
  <si>
    <t>Densifier</t>
  </si>
  <si>
    <t>Product</t>
  </si>
  <si>
    <t>Honing Tool</t>
  </si>
  <si>
    <t>Polishing Tool</t>
  </si>
  <si>
    <t>Stain Defense</t>
  </si>
  <si>
    <t>LiquiGrind</t>
  </si>
  <si>
    <t>Total</t>
  </si>
  <si>
    <t>Tool Holder</t>
  </si>
  <si>
    <t>Reset Tool</t>
  </si>
  <si>
    <t>5 gal pail</t>
  </si>
  <si>
    <t>LiquiGrind (167005-00)</t>
  </si>
  <si>
    <t>Honing Tool (E84133-00)</t>
  </si>
  <si>
    <t>Densifier (167105-00)</t>
  </si>
  <si>
    <t>Polishing Tool (E84134-00)</t>
  </si>
  <si>
    <t>Stain Defense (167205-00)</t>
  </si>
  <si>
    <t>Daily Rental Fee</t>
  </si>
  <si>
    <t>Rental Admin Fee</t>
  </si>
  <si>
    <t>Round-Trip Freight</t>
  </si>
  <si>
    <t>Restorative Maintenance</t>
  </si>
  <si>
    <t>UOM</t>
  </si>
  <si>
    <t>case</t>
  </si>
  <si>
    <t>Reset Tool (E84132-00)</t>
  </si>
  <si>
    <t>Pads</t>
  </si>
  <si>
    <t>Products</t>
  </si>
  <si>
    <t>MSRP</t>
  </si>
  <si>
    <t>SKU</t>
  </si>
  <si>
    <t>167005-00</t>
  </si>
  <si>
    <t>167105-00</t>
  </si>
  <si>
    <t>167205-00</t>
  </si>
  <si>
    <t>67912-00</t>
  </si>
  <si>
    <t>92411-00</t>
  </si>
  <si>
    <t>Tooling</t>
  </si>
  <si>
    <t>E84133-00</t>
  </si>
  <si>
    <t>E84134-00</t>
  </si>
  <si>
    <t>Polishing Tool Spacer</t>
  </si>
  <si>
    <t>E84130-00</t>
  </si>
  <si>
    <t>Cleaning Pad, 11"</t>
  </si>
  <si>
    <t>Cleaning Pad, 12"</t>
  </si>
  <si>
    <t>Cleaning Pad, 13"</t>
  </si>
  <si>
    <t>Cleaning Pad, 15"</t>
  </si>
  <si>
    <t>Cleaning Pad, 16"</t>
  </si>
  <si>
    <t>Cleaning Pad, 17"</t>
  </si>
  <si>
    <t>Cleaning Pad, 20"</t>
  </si>
  <si>
    <t>E84111-00</t>
  </si>
  <si>
    <t>E84112-00</t>
  </si>
  <si>
    <t>E84113-00</t>
  </si>
  <si>
    <t>E84115-00</t>
  </si>
  <si>
    <t>E84116-00</t>
  </si>
  <si>
    <t>E84117-00</t>
  </si>
  <si>
    <t>E84120-00</t>
  </si>
  <si>
    <t>E84121-00</t>
  </si>
  <si>
    <t>E84124-00</t>
  </si>
  <si>
    <t>E84127-00</t>
  </si>
  <si>
    <t>E84132-00</t>
  </si>
  <si>
    <t>CRP</t>
  </si>
  <si>
    <t>E84143-00</t>
  </si>
  <si>
    <t>Velcro Disk Replacement Kit</t>
  </si>
  <si>
    <t>E84144-00</t>
  </si>
  <si>
    <t>E80001-00</t>
  </si>
  <si>
    <t>TAP</t>
  </si>
  <si>
    <t>Tool Holder (E84130-00)</t>
  </si>
  <si>
    <t>CRP (E84143-00)</t>
  </si>
  <si>
    <t>Velcro Disk Replacement Kit (E84144-00)</t>
  </si>
  <si>
    <t>TAP (E80001-00)</t>
  </si>
  <si>
    <t>UOM Quantity</t>
  </si>
  <si>
    <t>N/A</t>
  </si>
  <si>
    <t>QTY of UOM Needed Per Use</t>
  </si>
  <si>
    <t>Burnishing Pad, 24"</t>
  </si>
  <si>
    <t>Burnishing Pad, 27"</t>
  </si>
  <si>
    <t>Reset Maintenance</t>
  </si>
  <si>
    <t>Interim Maintenance</t>
  </si>
  <si>
    <t>Maintenance Phases</t>
  </si>
  <si>
    <t>Name and SKU</t>
  </si>
  <si>
    <t>Category</t>
  </si>
  <si>
    <t>Item#</t>
  </si>
  <si>
    <t>T</t>
  </si>
  <si>
    <t>P</t>
  </si>
  <si>
    <t>Name</t>
  </si>
  <si>
    <t>UniqueRef</t>
  </si>
  <si>
    <t>Type</t>
  </si>
  <si>
    <t>UOMs</t>
  </si>
  <si>
    <t>Crete Rx™ Polished Concrete &amp; Terrazzo               Maintenance System</t>
  </si>
  <si>
    <t>Matrix™ Routine Maintenance</t>
  </si>
  <si>
    <t>Cost per Gal/Pad</t>
  </si>
  <si>
    <t>Gallons/Pads</t>
  </si>
  <si>
    <t>Cost / Sqft</t>
  </si>
  <si>
    <t>$/Job</t>
  </si>
  <si>
    <t>Enter Required Data in Yellow Cells</t>
  </si>
  <si>
    <t>DensiClean™ (1:256)</t>
  </si>
  <si>
    <t xml:space="preserve">Cleanable Sqft </t>
  </si>
  <si>
    <t>SI Cleaning Pads</t>
  </si>
  <si>
    <t xml:space="preserve">Autoscrubber Productivity </t>
  </si>
  <si>
    <t>SI Burnish Pads</t>
  </si>
  <si>
    <t>Autoscrubber Tank Size</t>
  </si>
  <si>
    <t xml:space="preserve">Burnisher Productivity </t>
  </si>
  <si>
    <t>Product total $/sqft/day</t>
  </si>
  <si>
    <t>Pads per AutoScrubber</t>
  </si>
  <si>
    <t>Product total $/day</t>
  </si>
  <si>
    <t>Coverage Rates</t>
  </si>
  <si>
    <t>Product total $/sqft/week</t>
  </si>
  <si>
    <t>SI Cleaning/Burnish Pad</t>
  </si>
  <si>
    <t>Product total$/week</t>
  </si>
  <si>
    <t>Days per Week of Cleaning</t>
  </si>
  <si>
    <t>Days per Week of Burnishing</t>
  </si>
  <si>
    <t>Product total $/sqft/year</t>
  </si>
  <si>
    <t>Product Costs</t>
  </si>
  <si>
    <t>Product total $/year</t>
  </si>
  <si>
    <t>DensiClean™ per Gallon</t>
  </si>
  <si>
    <t xml:space="preserve">SI Cleaning Pad (Each) </t>
  </si>
  <si>
    <t>Total Hours per week (projected)</t>
  </si>
  <si>
    <t xml:space="preserve">SI Burnish Pad (Each) </t>
  </si>
  <si>
    <t>Per Year</t>
  </si>
  <si>
    <t>Gallons per week</t>
  </si>
  <si>
    <t>SI Cleaning Pads per week</t>
  </si>
  <si>
    <t>SI Burnish Pads per week</t>
  </si>
  <si>
    <t>Ounces per tank</t>
  </si>
  <si>
    <t>Tanks per cleaning</t>
  </si>
  <si>
    <t>Productivity Hrs.</t>
  </si>
  <si>
    <t>SQFT/TOOL</t>
  </si>
  <si>
    <t>SQFT/PAD</t>
  </si>
  <si>
    <t>SQFT/EACH</t>
  </si>
  <si>
    <t>SQFT/CASE</t>
  </si>
  <si>
    <t>SQFT/PAIL/CASE</t>
  </si>
  <si>
    <t>QTY Per Case</t>
  </si>
  <si>
    <t>MSRP Price Per Case</t>
  </si>
  <si>
    <t>SQFT Coverage by Case</t>
  </si>
  <si>
    <t>Crete Rx™ Stain Removal Kit (92411-00)</t>
  </si>
  <si>
    <t>Auxiliary Items</t>
  </si>
  <si>
    <t xml:space="preserve"> </t>
  </si>
  <si>
    <t>Auxiliary Products</t>
  </si>
  <si>
    <t>A</t>
  </si>
  <si>
    <t>Order</t>
  </si>
  <si>
    <t>SQFT Coverage by Pail</t>
  </si>
  <si>
    <t>SQFT/PAIL</t>
  </si>
  <si>
    <t>SQFT/GALLON</t>
  </si>
  <si>
    <t>Cleaning Pad, 14"</t>
  </si>
  <si>
    <t>E84114-00</t>
  </si>
  <si>
    <t>Item Description</t>
  </si>
  <si>
    <t>QTY</t>
  </si>
  <si>
    <t>Price</t>
  </si>
  <si>
    <t>TOOLING</t>
  </si>
  <si>
    <t>PADS</t>
  </si>
  <si>
    <t>PRODUCTS</t>
  </si>
  <si>
    <t>AUXILIARY ITEMS</t>
  </si>
  <si>
    <t>TOTAL</t>
  </si>
  <si>
    <t>67947-00</t>
  </si>
  <si>
    <t>DensiClean - 12-32 oz.</t>
  </si>
  <si>
    <t>DensiClean - 4 - 2L FastDraw</t>
  </si>
  <si>
    <t>DensiClean - 12-32 oz. (67912-00)</t>
  </si>
  <si>
    <t>DensiClean - 4 - 2L FastDraw (67947-00)</t>
  </si>
  <si>
    <t>E84173-00</t>
  </si>
  <si>
    <t>Polishing Tool Spacer (E84173-00)</t>
  </si>
  <si>
    <t>Crete Rx™ Stain Removal Kit</t>
  </si>
  <si>
    <t>--Make Your Selection--</t>
  </si>
  <si>
    <t>Machine Type</t>
  </si>
  <si>
    <t>CP30</t>
  </si>
  <si>
    <t>Auto-Scrubber</t>
  </si>
  <si>
    <t>Auto Scrubber Prod. Hrs.</t>
  </si>
  <si>
    <r>
      <rPr>
        <b/>
        <sz val="22"/>
        <color rgb="FF002060"/>
        <rFont val="Calibri"/>
        <family val="2"/>
        <scheme val="minor"/>
      </rPr>
      <t>❶</t>
    </r>
    <r>
      <rPr>
        <b/>
        <sz val="16"/>
        <color rgb="FF002060"/>
        <rFont val="Arial"/>
        <family val="2"/>
      </rPr>
      <t xml:space="preserve"> </t>
    </r>
    <r>
      <rPr>
        <b/>
        <sz val="14"/>
        <color rgb="FF002060"/>
        <rFont val="Arial"/>
        <family val="2"/>
      </rPr>
      <t xml:space="preserve">Select Maintenance Phase: </t>
    </r>
  </si>
  <si>
    <t>Per Recommendation¹</t>
  </si>
  <si>
    <t>¹Auxiliary item quantities are ordered as needed, please reach out to your Betco sales representative for their recommendation.</t>
  </si>
  <si>
    <r>
      <rPr>
        <b/>
        <i/>
        <sz val="18"/>
        <color theme="1"/>
        <rFont val="Arial"/>
        <family val="2"/>
      </rPr>
      <t xml:space="preserve">NOTE: </t>
    </r>
    <r>
      <rPr>
        <i/>
        <sz val="18"/>
        <color theme="1"/>
        <rFont val="Arial"/>
        <family val="2"/>
      </rPr>
      <t xml:space="preserve">This form is </t>
    </r>
    <r>
      <rPr>
        <b/>
        <i/>
        <sz val="18"/>
        <color theme="1"/>
        <rFont val="Arial"/>
        <family val="2"/>
      </rPr>
      <t>LOCKED</t>
    </r>
    <r>
      <rPr>
        <i/>
        <sz val="18"/>
        <color theme="1"/>
        <rFont val="Arial"/>
        <family val="2"/>
      </rPr>
      <t>. To change quantities, please return to the Cost Estimator worksheet.</t>
    </r>
    <r>
      <rPr>
        <i/>
        <sz val="14"/>
        <color theme="1"/>
        <rFont val="Arial"/>
        <family val="2"/>
      </rPr>
      <t xml:space="preserve">
</t>
    </r>
    <r>
      <rPr>
        <i/>
        <sz val="18"/>
        <color theme="1"/>
        <rFont val="Arial"/>
        <family val="2"/>
      </rPr>
      <t xml:space="preserve">
</t>
    </r>
    <r>
      <rPr>
        <b/>
        <i/>
        <sz val="18"/>
        <color theme="1"/>
        <rFont val="Arial"/>
        <family val="2"/>
      </rPr>
      <t>DO NOT SEND THIS WORKSHEET OR CALCULATIONS COULD BE LOST.</t>
    </r>
    <r>
      <rPr>
        <i/>
        <sz val="18"/>
        <color theme="1"/>
        <rFont val="Arial"/>
        <family val="2"/>
      </rPr>
      <t xml:space="preserve">
Instead, when you have completed the Cost Estimator, follow these simple steps to produce a PDF copy of this worksheet.
1. Go to File
2. Go to Save As
3. Save As a PDF
4. You can send the PDF to place the order.</t>
    </r>
  </si>
  <si>
    <r>
      <rPr>
        <b/>
        <sz val="22"/>
        <color rgb="FF002060"/>
        <rFont val="Calibri"/>
        <family val="2"/>
      </rPr>
      <t>❷</t>
    </r>
    <r>
      <rPr>
        <b/>
        <sz val="14"/>
        <color rgb="FF002060"/>
        <rFont val="Arial"/>
        <family val="2"/>
      </rPr>
      <t xml:space="preserve"> Enter Total Square Footage: </t>
    </r>
  </si>
  <si>
    <r>
      <rPr>
        <b/>
        <sz val="22"/>
        <color rgb="FF002060"/>
        <rFont val="Calibri"/>
        <family val="2"/>
      </rPr>
      <t>❸</t>
    </r>
    <r>
      <rPr>
        <b/>
        <sz val="14"/>
        <color rgb="FF002060"/>
        <rFont val="Arial"/>
        <family val="2"/>
      </rPr>
      <t>Select Your Machine Type:</t>
    </r>
  </si>
  <si>
    <t>Cost</t>
  </si>
  <si>
    <r>
      <t xml:space="preserve">
QTY to order </t>
    </r>
    <r>
      <rPr>
        <b/>
        <sz val="12"/>
        <color rgb="FFFF0000"/>
        <rFont val="Wingdings"/>
        <charset val="2"/>
      </rPr>
      <t>«</t>
    </r>
  </si>
  <si>
    <r>
      <t xml:space="preserve">
QTY to order </t>
    </r>
    <r>
      <rPr>
        <b/>
        <sz val="11"/>
        <color rgb="FFFF0000"/>
        <rFont val="Wingdings"/>
        <charset val="2"/>
      </rPr>
      <t>«</t>
    </r>
  </si>
  <si>
    <t>Tool Cost Per Square Foot</t>
  </si>
  <si>
    <t>State Name</t>
  </si>
  <si>
    <t>Original</t>
  </si>
  <si>
    <t>Change</t>
  </si>
  <si>
    <t>2018 Revised</t>
  </si>
  <si>
    <t>round trip</t>
  </si>
  <si>
    <t>Region</t>
  </si>
  <si>
    <t>--Make Selection--</t>
  </si>
  <si>
    <t>AL</t>
  </si>
  <si>
    <t>Alabama</t>
  </si>
  <si>
    <t>Deep South</t>
  </si>
  <si>
    <t>AZ</t>
  </si>
  <si>
    <t>Arizona</t>
  </si>
  <si>
    <t>Southwest</t>
  </si>
  <si>
    <t>AR</t>
  </si>
  <si>
    <t>Arkansas</t>
  </si>
  <si>
    <t>CA</t>
  </si>
  <si>
    <t>California</t>
  </si>
  <si>
    <t>CO</t>
  </si>
  <si>
    <t>Colorado</t>
  </si>
  <si>
    <t>Tornado</t>
  </si>
  <si>
    <t>CT</t>
  </si>
  <si>
    <t>Connecticut</t>
  </si>
  <si>
    <t>Northeast</t>
  </si>
  <si>
    <t>DE</t>
  </si>
  <si>
    <t>Delaware</t>
  </si>
  <si>
    <t>East Coast</t>
  </si>
  <si>
    <t>DC</t>
  </si>
  <si>
    <t>District of Columbia</t>
  </si>
  <si>
    <t>FL</t>
  </si>
  <si>
    <t>Florida</t>
  </si>
  <si>
    <t>GA</t>
  </si>
  <si>
    <t>Georgia</t>
  </si>
  <si>
    <t>ID</t>
  </si>
  <si>
    <t>Idaho</t>
  </si>
  <si>
    <t>Northwest</t>
  </si>
  <si>
    <t>IL</t>
  </si>
  <si>
    <t>Illinois</t>
  </si>
  <si>
    <t>Ohio Valley</t>
  </si>
  <si>
    <t>IN</t>
  </si>
  <si>
    <t>Indiana</t>
  </si>
  <si>
    <t>IA</t>
  </si>
  <si>
    <t>Iowa</t>
  </si>
  <si>
    <t>Midwest</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</si>
  <si>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</si>
  <si>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</si>
  <si>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</si>
  <si>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</si>
  <si>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</si>
  <si>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</si>
  <si>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</si>
  <si>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</si>
  <si>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</si>
  <si>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</si>
  <si>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</si>
  <si>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</si>
  <si>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</si>
  <si>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</si>
  <si>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</si>
  <si>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</si>
  <si>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</si>
  <si>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</si>
  <si>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</si>
  <si>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</si>
  <si>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</si>
  <si>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</si>
  <si>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</si>
  <si>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</si>
  <si>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</si>
  <si>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</si>
  <si>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</si>
  <si>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</si>
  <si>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</si>
  <si>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</si>
  <si>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</si>
  <si>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</si>
  <si>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</si>
  <si>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</si>
  <si>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NYC</t>
  </si>
  <si>
    <t>New York City</t>
  </si>
  <si>
    <t>NC</t>
  </si>
  <si>
    <t>North Carolina</t>
  </si>
  <si>
    <t>ND</t>
  </si>
  <si>
    <t>North Dakota'</t>
  </si>
  <si>
    <t>North Dakota</t>
  </si>
  <si>
    <t>OH</t>
  </si>
  <si>
    <t>Ohio</t>
  </si>
  <si>
    <t>OK</t>
  </si>
  <si>
    <t>Oklahoma</t>
  </si>
  <si>
    <t>OR</t>
  </si>
  <si>
    <t>Oregon</t>
  </si>
  <si>
    <t>RI</t>
  </si>
  <si>
    <t>Rhode Island</t>
  </si>
  <si>
    <t>SC</t>
  </si>
  <si>
    <t>South Carolina</t>
  </si>
  <si>
    <t>SD</t>
  </si>
  <si>
    <t>South Dakota</t>
  </si>
  <si>
    <t>Northern Plains</t>
  </si>
  <si>
    <t>TN</t>
  </si>
  <si>
    <t>Tennessee</t>
  </si>
  <si>
    <t>TX</t>
  </si>
  <si>
    <t>Texas</t>
  </si>
  <si>
    <t>UT</t>
  </si>
  <si>
    <t>Utah</t>
  </si>
  <si>
    <t>VT</t>
  </si>
  <si>
    <t>Vermont</t>
  </si>
  <si>
    <t>VA</t>
  </si>
  <si>
    <t>Virginia</t>
  </si>
  <si>
    <t>WV</t>
  </si>
  <si>
    <t>West Virginia</t>
  </si>
  <si>
    <t>WI</t>
  </si>
  <si>
    <t>Wisconsin</t>
  </si>
  <si>
    <t>WY</t>
  </si>
  <si>
    <t>Wyoming</t>
  </si>
  <si>
    <t>Abbreviation</t>
  </si>
  <si>
    <t>Case QTY Required to Complete the Project</t>
  </si>
  <si>
    <t>Pail QTY Required to Complete the Project</t>
  </si>
  <si>
    <t>QTY Per Pail</t>
  </si>
  <si>
    <t>Burnishing Pad, 27" (E84127-00)</t>
  </si>
  <si>
    <t>SQFT Coverage by Tool</t>
  </si>
  <si>
    <t>SQFT Coverage by Pad</t>
  </si>
  <si>
    <r>
      <rPr>
        <b/>
        <sz val="16"/>
        <color theme="0"/>
        <rFont val="Arial"/>
        <family val="2"/>
      </rPr>
      <t xml:space="preserve">IMPORTANT instructions you must follow to get accurate </t>
    </r>
    <r>
      <rPr>
        <b/>
        <u/>
        <sz val="16"/>
        <color theme="0"/>
        <rFont val="Arial"/>
        <family val="2"/>
      </rPr>
      <t>ESTIMATED</t>
    </r>
    <r>
      <rPr>
        <b/>
        <sz val="16"/>
        <color theme="0"/>
        <rFont val="Arial"/>
        <family val="2"/>
      </rPr>
      <t xml:space="preserve"> RESULTS.
</t>
    </r>
    <r>
      <rPr>
        <sz val="12"/>
        <color rgb="FF000000"/>
        <rFont val="Arial"/>
        <family val="2"/>
      </rPr>
      <t/>
    </r>
  </si>
  <si>
    <t>CM30</t>
  </si>
  <si>
    <t>Auxiliary</t>
  </si>
  <si>
    <t>*MSRP Pricing doesn't change very often. Check pricing every six months. Joe built me a query that shows updated pricing.The dates indicate the last time pricing was checked. Not necessarily the last time pricing was changed.</t>
  </si>
  <si>
    <t>Burnishing Pad, 21"</t>
  </si>
  <si>
    <t>Productivity Hrs.3</t>
  </si>
  <si>
    <t>E29805-00</t>
  </si>
  <si>
    <t>each</t>
  </si>
  <si>
    <t>each(s)</t>
  </si>
  <si>
    <t>CM30 (E29805-00)</t>
  </si>
  <si>
    <t>Pricing Checked*</t>
  </si>
  <si>
    <t>E29810-00</t>
  </si>
  <si>
    <t>CP30 (E29810-00)</t>
  </si>
  <si>
    <r>
      <t xml:space="preserve">Results are an </t>
    </r>
    <r>
      <rPr>
        <b/>
        <u/>
        <sz val="16"/>
        <color theme="1"/>
        <rFont val="Arial"/>
        <family val="2"/>
      </rPr>
      <t>ESTIMATE ONLY</t>
    </r>
    <r>
      <rPr>
        <b/>
        <sz val="16"/>
        <color theme="1"/>
        <rFont val="Arial"/>
        <family val="2"/>
      </rPr>
      <t>.</t>
    </r>
  </si>
  <si>
    <r>
      <rPr>
        <b/>
        <sz val="22"/>
        <color rgb="FF002060"/>
        <rFont val="Calibri"/>
        <family val="2"/>
      </rPr>
      <t>❹</t>
    </r>
    <r>
      <rPr>
        <b/>
        <sz val="22"/>
        <color rgb="FF002060"/>
        <rFont val="Arial"/>
        <family val="2"/>
      </rPr>
      <t xml:space="preserve"> </t>
    </r>
    <r>
      <rPr>
        <b/>
        <sz val="14"/>
        <color rgb="FF002060"/>
        <rFont val="Arial"/>
        <family val="2"/>
      </rPr>
      <t>Select 1 Cleaning and 
1 Burnishing Pad:</t>
    </r>
  </si>
  <si>
    <r>
      <rPr>
        <b/>
        <sz val="24"/>
        <color rgb="FF002060"/>
        <rFont val="Calibri"/>
        <family val="2"/>
      </rPr>
      <t xml:space="preserve">❺ </t>
    </r>
    <r>
      <rPr>
        <b/>
        <sz val="12"/>
        <color rgb="FF002060"/>
        <rFont val="Arial"/>
        <family val="2"/>
      </rPr>
      <t xml:space="preserve">QTY to order </t>
    </r>
    <r>
      <rPr>
        <b/>
        <sz val="12"/>
        <color rgb="FFFF0000"/>
        <rFont val="Wingdings"/>
        <charset val="2"/>
      </rPr>
      <t>«</t>
    </r>
  </si>
  <si>
    <t>CM30 or CP30</t>
  </si>
  <si>
    <t>CM30 and CP30 Prod. Hrs.</t>
  </si>
  <si>
    <t>USE ONLY 
as a GUIDE</t>
  </si>
  <si>
    <r>
      <t xml:space="preserve">ENTER ORDER 
QTYS HERE </t>
    </r>
    <r>
      <rPr>
        <b/>
        <sz val="14"/>
        <color rgb="FFFF0000"/>
        <rFont val="Wingdings"/>
        <charset val="2"/>
      </rPr>
      <t>«</t>
    </r>
  </si>
  <si>
    <r>
      <t xml:space="preserve">Cost information is displayed in the green cells. </t>
    </r>
    <r>
      <rPr>
        <b/>
        <sz val="12"/>
        <rFont val="Arial"/>
        <family val="2"/>
      </rPr>
      <t>TO ADJUST PRICING</t>
    </r>
    <r>
      <rPr>
        <sz val="12"/>
        <rFont val="Arial"/>
        <family val="2"/>
      </rPr>
      <t xml:space="preserve">: Go to the </t>
    </r>
    <r>
      <rPr>
        <b/>
        <sz val="12"/>
        <rFont val="Arial"/>
        <family val="2"/>
      </rPr>
      <t>Review Tab</t>
    </r>
    <r>
      <rPr>
        <sz val="12"/>
        <rFont val="Arial"/>
        <family val="2"/>
      </rPr>
      <t xml:space="preserve"> and click on </t>
    </r>
    <r>
      <rPr>
        <b/>
        <sz val="12"/>
        <rFont val="Arial"/>
        <family val="2"/>
      </rPr>
      <t xml:space="preserve">Unprotect Sheet. 
WARNING: </t>
    </r>
    <r>
      <rPr>
        <sz val="12"/>
        <rFont val="Arial"/>
        <family val="2"/>
      </rPr>
      <t xml:space="preserve">Unprotecting the worksheet opens up the possibility of compromising the data. </t>
    </r>
  </si>
  <si>
    <t>Total Labor Cost:</t>
  </si>
  <si>
    <t>Tooling, Pads, and Product Cost</t>
  </si>
  <si>
    <t>Enter labor hourly rate.</t>
  </si>
  <si>
    <t>Enter the total number of machines.</t>
  </si>
  <si>
    <t>LABOR RATE ESTIMATOR*</t>
  </si>
  <si>
    <t>Enter total project square footage.</t>
  </si>
  <si>
    <t xml:space="preserve">
Productivity Hours</t>
  </si>
  <si>
    <r>
      <rPr>
        <b/>
        <sz val="22"/>
        <color rgb="FF002060"/>
        <rFont val="Calibri"/>
        <family val="2"/>
      </rPr>
      <t>❻</t>
    </r>
    <r>
      <rPr>
        <b/>
        <sz val="12"/>
        <color rgb="FF002060"/>
        <rFont val="Arial"/>
        <family val="2"/>
      </rPr>
      <t xml:space="preserve">Total </t>
    </r>
    <r>
      <rPr>
        <b/>
        <u/>
        <sz val="12"/>
        <color rgb="FF002060"/>
        <rFont val="Arial"/>
        <family val="2"/>
      </rPr>
      <t>ESTIMATED</t>
    </r>
    <r>
      <rPr>
        <sz val="12"/>
        <color rgb="FF002060"/>
        <rFont val="Arial"/>
        <family val="2"/>
      </rPr>
      <t xml:space="preserve"> </t>
    </r>
    <r>
      <rPr>
        <b/>
        <sz val="12"/>
        <color rgb="FF002060"/>
        <rFont val="Arial"/>
        <family val="2"/>
      </rPr>
      <t>Project Cost</t>
    </r>
  </si>
  <si>
    <r>
      <t xml:space="preserve">Orange cells show the quantity required to complete the project. This is </t>
    </r>
    <r>
      <rPr>
        <b/>
        <sz val="12"/>
        <color rgb="FF000000"/>
        <rFont val="Arial"/>
        <family val="2"/>
      </rPr>
      <t>ONLY a GUIDE</t>
    </r>
    <r>
      <rPr>
        <sz val="12"/>
        <color rgb="FF000000"/>
        <rFont val="Arial"/>
        <family val="2"/>
      </rPr>
      <t xml:space="preserve">. 
Costs are estimated based on </t>
    </r>
    <r>
      <rPr>
        <b/>
        <u/>
        <sz val="12"/>
        <color rgb="FF000000"/>
        <rFont val="Arial"/>
        <family val="2"/>
      </rPr>
      <t>YOUR</t>
    </r>
    <r>
      <rPr>
        <sz val="12"/>
        <color rgb="FF000000"/>
        <rFont val="Arial"/>
        <family val="2"/>
      </rPr>
      <t xml:space="preserve"> entries in </t>
    </r>
    <r>
      <rPr>
        <b/>
        <sz val="12"/>
        <color rgb="FF000000"/>
        <rFont val="Arial"/>
        <family val="2"/>
      </rPr>
      <t xml:space="preserve">STEP 5 </t>
    </r>
    <r>
      <rPr>
        <b/>
        <sz val="12"/>
        <color rgb="FFFF0000"/>
        <rFont val="Wingdings"/>
        <charset val="2"/>
      </rPr>
      <t>«</t>
    </r>
    <r>
      <rPr>
        <b/>
        <sz val="12"/>
        <rFont val="Arial"/>
        <family val="2"/>
      </rPr>
      <t>.</t>
    </r>
    <r>
      <rPr>
        <b/>
        <sz val="12"/>
        <color rgb="FFFF0000"/>
        <rFont val="Arial"/>
        <family val="2"/>
      </rPr>
      <t xml:space="preserve"> </t>
    </r>
    <r>
      <rPr>
        <b/>
        <sz val="12"/>
        <rFont val="Arial"/>
        <family val="2"/>
      </rPr>
      <t>Adjust the QTY in STEP 5</t>
    </r>
    <r>
      <rPr>
        <b/>
        <sz val="12"/>
        <color rgb="FFFF0000"/>
        <rFont val="Wingdings"/>
        <charset val="2"/>
      </rPr>
      <t>«</t>
    </r>
    <r>
      <rPr>
        <b/>
        <sz val="12"/>
        <rFont val="Arial"/>
        <family val="2"/>
      </rPr>
      <t xml:space="preserve"> AS NEEDED.</t>
    </r>
    <r>
      <rPr>
        <sz val="12"/>
        <rFont val="Arial"/>
        <family val="2"/>
      </rPr>
      <t xml:space="preserve">  </t>
    </r>
  </si>
  <si>
    <t xml:space="preserve">Total Man Hours to Complete the Project²: </t>
  </si>
  <si>
    <t>²Hours are rounded up to the quarter hour</t>
  </si>
  <si>
    <r>
      <t>Betco estimates the CM30 and CP30 have a productivity rate of 375 sqft/hour day and auto scrubbers have a productivity rate of 125 sqft/hour.</t>
    </r>
    <r>
      <rPr>
        <sz val="10"/>
        <color theme="1"/>
        <rFont val="Arial"/>
        <family val="2"/>
      </rPr>
      <t>¹</t>
    </r>
  </si>
  <si>
    <t>¹Productivity rates for machines can vary based on many contingencies. Betco is not responsible for those contingencies that could effect the accuracy of this estimator. Please use at your own discretion.</t>
  </si>
  <si>
    <t>Enter the total number of workers.</t>
  </si>
  <si>
    <r>
      <rPr>
        <b/>
        <sz val="22"/>
        <color rgb="FF002060"/>
        <rFont val="Calibri"/>
        <family val="2"/>
      </rPr>
      <t>❶</t>
    </r>
    <r>
      <rPr>
        <b/>
        <sz val="22"/>
        <color rgb="FF002060"/>
        <rFont val="Arial"/>
        <family val="2"/>
      </rPr>
      <t xml:space="preserve"> </t>
    </r>
    <r>
      <rPr>
        <b/>
        <sz val="14"/>
        <color rgb="FF002060"/>
        <rFont val="Arial"/>
        <family val="2"/>
      </rPr>
      <t xml:space="preserve"> Enter Number of Rental Days:</t>
    </r>
  </si>
  <si>
    <r>
      <rPr>
        <b/>
        <sz val="22"/>
        <color rgb="FF002060"/>
        <rFont val="Calibri"/>
        <family val="2"/>
      </rPr>
      <t>❷</t>
    </r>
    <r>
      <rPr>
        <b/>
        <sz val="22"/>
        <color rgb="FF002060"/>
        <rFont val="Arial"/>
        <family val="2"/>
      </rPr>
      <t xml:space="preserve"> </t>
    </r>
    <r>
      <rPr>
        <b/>
        <sz val="14"/>
        <color rgb="FF002060"/>
        <rFont val="Arial"/>
        <family val="2"/>
      </rPr>
      <t xml:space="preserve"> Select Ship-To State:</t>
    </r>
  </si>
  <si>
    <t>CP30 Rental Costs</t>
  </si>
  <si>
    <r>
      <t xml:space="preserve">Cost estimates are based on data in YELLOW cells. Follow the numbered </t>
    </r>
    <r>
      <rPr>
        <b/>
        <sz val="12"/>
        <rFont val="Arial"/>
        <family val="2"/>
      </rPr>
      <t>STEPS 1 - 6 IN SEQUENTIAL ORDER</t>
    </r>
    <r>
      <rPr>
        <sz val="12"/>
        <rFont val="Arial"/>
        <family val="2"/>
      </rPr>
      <t xml:space="preserve"> and complete information in ALL of the yellow cells. </t>
    </r>
    <r>
      <rPr>
        <i/>
        <sz val="12"/>
        <rFont val="Arial"/>
        <family val="2"/>
      </rPr>
      <t xml:space="preserve">NOTE: Regardless of the number of tools a machine supports, e.g, 12, 9, 6, etc.,the order quantities are the same. Efficiencies decline as the number of tools, a machine holds, declines. Ordering the same quantities makes up for this declination. Also, labor needs increase when machines that hold fewer tools are being used. </t>
    </r>
  </si>
  <si>
    <r>
      <rPr>
        <b/>
        <sz val="12"/>
        <color rgb="FF002060"/>
        <rFont val="Arial"/>
        <family val="2"/>
      </rPr>
      <t>IMPORTANT Betco Best Practice</t>
    </r>
    <r>
      <rPr>
        <sz val="12"/>
        <color rgb="FF002060"/>
        <rFont val="Arial"/>
        <family val="2"/>
      </rPr>
      <t xml:space="preserve">
This Estimator file is updated frequently</t>
    </r>
    <r>
      <rPr>
        <b/>
        <sz val="12"/>
        <color rgb="FF002060"/>
        <rFont val="Arial"/>
        <family val="2"/>
      </rPr>
      <t>. DO NOT SAVE</t>
    </r>
    <r>
      <rPr>
        <sz val="12"/>
        <color rgb="FF002060"/>
        <rFont val="Arial"/>
        <family val="2"/>
      </rPr>
      <t xml:space="preserve"> or </t>
    </r>
    <r>
      <rPr>
        <b/>
        <sz val="12"/>
        <color rgb="FF002060"/>
        <rFont val="Arial"/>
        <family val="2"/>
      </rPr>
      <t>REUSE</t>
    </r>
    <r>
      <rPr>
        <sz val="12"/>
        <color rgb="FF002060"/>
        <rFont val="Arial"/>
        <family val="2"/>
      </rPr>
      <t xml:space="preserve"> this Estimator. </t>
    </r>
    <r>
      <rPr>
        <b/>
        <sz val="12"/>
        <color rgb="FF002060"/>
        <rFont val="Arial"/>
        <family val="2"/>
      </rPr>
      <t>ALWAYS</t>
    </r>
    <r>
      <rPr>
        <sz val="12"/>
        <color rgb="FF002060"/>
        <rFont val="Arial"/>
        <family val="2"/>
      </rPr>
      <t xml:space="preserve"> return to </t>
    </r>
    <r>
      <rPr>
        <b/>
        <sz val="12"/>
        <color rgb="FF002060"/>
        <rFont val="Arial"/>
        <family val="2"/>
      </rPr>
      <t>Crete Rx on Betco.com</t>
    </r>
    <r>
      <rPr>
        <sz val="12"/>
        <color rgb="FF002060"/>
        <rFont val="Arial"/>
        <family val="2"/>
      </rPr>
      <t xml:space="preserve"> to get an updated Estimator.</t>
    </r>
  </si>
  <si>
    <t>Crete Rx Estimator on Betco.com</t>
  </si>
  <si>
    <r>
      <rPr>
        <b/>
        <sz val="22"/>
        <color rgb="FF002060"/>
        <rFont val="Calibri"/>
        <family val="2"/>
      </rPr>
      <t>❷</t>
    </r>
    <r>
      <rPr>
        <b/>
        <sz val="14"/>
        <color rgb="FF002060"/>
        <rFont val="Arial"/>
        <family val="2"/>
      </rPr>
      <t xml:space="preserve"> Enter Total Project Square Footage: </t>
    </r>
  </si>
  <si>
    <r>
      <rPr>
        <b/>
        <sz val="22"/>
        <color rgb="FF002060"/>
        <rFont val="Calibri"/>
        <family val="2"/>
      </rPr>
      <t>❶</t>
    </r>
    <r>
      <rPr>
        <b/>
        <sz val="14"/>
        <color rgb="FF002060"/>
        <rFont val="Arial"/>
        <family val="2"/>
      </rPr>
      <t xml:space="preserve"> Select Maintenance Phase: </t>
    </r>
  </si>
  <si>
    <r>
      <rPr>
        <b/>
        <sz val="22"/>
        <color rgb="FF002060"/>
        <rFont val="Calibri"/>
        <family val="2"/>
      </rPr>
      <t>❸</t>
    </r>
    <r>
      <rPr>
        <b/>
        <sz val="14"/>
        <color rgb="FF002060"/>
        <rFont val="Arial"/>
        <family val="2"/>
      </rPr>
      <t xml:space="preserve">Enter Labor Hourly Rate: </t>
    </r>
  </si>
  <si>
    <r>
      <rPr>
        <b/>
        <sz val="22"/>
        <color rgb="FF002060"/>
        <rFont val="Calibri"/>
        <family val="2"/>
      </rPr>
      <t>❹</t>
    </r>
    <r>
      <rPr>
        <b/>
        <sz val="14"/>
        <color rgb="FF002060"/>
        <rFont val="Arial"/>
        <family val="2"/>
      </rPr>
      <t xml:space="preserve"> Enter Number of Machines: </t>
    </r>
  </si>
  <si>
    <r>
      <rPr>
        <b/>
        <sz val="22"/>
        <color rgb="FF002060"/>
        <rFont val="Calibri"/>
        <family val="2"/>
      </rPr>
      <t>❺</t>
    </r>
    <r>
      <rPr>
        <b/>
        <sz val="14"/>
        <color rgb="FF002060"/>
        <rFont val="Arial"/>
        <family val="2"/>
      </rPr>
      <t xml:space="preserve"> Enter Square Footage per Machine Per Hour: </t>
    </r>
  </si>
  <si>
    <r>
      <rPr>
        <b/>
        <sz val="22"/>
        <color rgb="FF002060"/>
        <rFont val="Calibri"/>
        <family val="2"/>
      </rPr>
      <t>❻</t>
    </r>
    <r>
      <rPr>
        <b/>
        <sz val="14"/>
        <color rgb="FF002060"/>
        <rFont val="Arial"/>
        <family val="2"/>
      </rPr>
      <t xml:space="preserve"> Enter Number of Workers: </t>
    </r>
  </si>
  <si>
    <t>Reset = 3x's labor rate (3 total tools)
Restoration = 2x's labor rate (2 total tools)
Interim = 1x rate (1 tool)</t>
  </si>
  <si>
    <t xml:space="preserve">Updated: </t>
  </si>
  <si>
    <t>Pricing was updated 02-04-19. Workbook was not updated until 03-27-19.</t>
  </si>
  <si>
    <t>8.27.19</t>
  </si>
  <si>
    <t>Cleaning Pad, 16" (E84116-00)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</si>
</sst>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quot;$&quot;#,##0.00"/>
    <numFmt numFmtId="165" formatCode="0.0"/>
    <numFmt numFmtId="166" formatCode="0,000"/>
    <numFmt numFmtId="167" formatCode="&quot;$&quot;#,##0.0000"/>
    <numFmt numFmtId="168" formatCode="#,##0.0"/>
    <numFmt numFmtId="169" formatCode="&quot;$&quot;#,##0.000"/>
    <numFmt numFmtId="170" formatCode="#,##0.000"/>
    <numFmt numFmtId="171" formatCode="mm/dd/yy;@"/>
  </numFmts>
  <fonts count="58" x14ac:knownFonts="1">
    <font>
      <sz val="11"/>
      <color theme="1"/>
      <name val="Calibri"/>
      <family val="2"/>
      <scheme val="minor"/>
    </font>
    <font>
      <b/>
      <sz val="11"/>
      <color theme="0"/>
      <name val="Calibri"/>
      <family val="2"/>
      <scheme val="minor"/>
    </font>
    <font>
      <sz val="11"/>
      <color rgb="FF006100"/>
      <name val="Calibri"/>
      <family val="2"/>
      <scheme val="minor"/>
    </font>
    <font>
      <sz val="11"/>
      <color theme="1"/>
      <name val="Calibri"/>
      <family val="2"/>
      <scheme val="minor"/>
    </font>
    <font>
      <sz val="10"/>
      <color theme="1"/>
      <name val="Arial"/>
      <family val="2"/>
    </font>
    <font>
      <b/>
      <sz val="16"/>
      <color theme="1"/>
      <name val="Arial"/>
      <family val="2"/>
    </font>
    <font>
      <b/>
      <sz val="18"/>
      <color theme="1"/>
      <name val="Arial"/>
      <family val="2"/>
    </font>
    <font>
      <sz val="11"/>
      <color theme="1"/>
      <name val="Arial"/>
      <family val="2"/>
    </font>
    <font>
      <b/>
      <sz val="11"/>
      <color theme="1"/>
      <name val="Arial"/>
      <family val="2"/>
    </font>
    <font>
      <sz val="11"/>
      <name val="Arial"/>
      <family val="2"/>
    </font>
    <font>
      <b/>
      <sz val="11"/>
      <name val="Arial"/>
      <family val="2"/>
    </font>
    <font>
      <b/>
      <sz val="11"/>
      <color rgb="FF006100"/>
      <name val="Arial"/>
      <family val="2"/>
    </font>
    <font>
      <sz val="12"/>
      <color theme="1"/>
      <name val="Calibri"/>
      <family val="2"/>
      <scheme val="minor"/>
    </font>
    <font>
      <i/>
      <sz val="14"/>
      <color theme="1"/>
      <name val="Arial"/>
      <family val="2"/>
    </font>
    <font>
      <b/>
      <i/>
      <sz val="18"/>
      <color theme="1"/>
      <name val="Arial"/>
      <family val="2"/>
    </font>
    <font>
      <i/>
      <sz val="18"/>
      <color theme="1"/>
      <name val="Arial"/>
      <family val="2"/>
    </font>
    <font>
      <sz val="12"/>
      <color theme="1"/>
      <name val="Arial"/>
      <family val="2"/>
    </font>
    <font>
      <b/>
      <sz val="12"/>
      <color theme="0"/>
      <name val="Arial"/>
      <family val="2"/>
    </font>
    <font>
      <b/>
      <sz val="12"/>
      <color theme="1"/>
      <name val="Arial"/>
      <family val="2"/>
    </font>
    <font>
      <u/>
      <sz val="12"/>
      <color theme="10"/>
      <name val="Calibri"/>
      <family val="2"/>
      <scheme val="minor"/>
    </font>
    <font>
      <b/>
      <sz val="16"/>
      <color theme="0"/>
      <name val="Arial"/>
      <family val="2"/>
    </font>
    <font>
      <u/>
      <sz val="16"/>
      <color theme="10"/>
      <name val="Arial"/>
      <family val="2"/>
    </font>
    <font>
      <sz val="16"/>
      <color theme="1"/>
      <name val="Arial"/>
      <family val="2"/>
    </font>
    <font>
      <b/>
      <sz val="12"/>
      <color rgb="FF002060"/>
      <name val="Arial"/>
      <family val="2"/>
    </font>
    <font>
      <b/>
      <sz val="12"/>
      <color rgb="FF000000"/>
      <name val="Arial"/>
      <family val="2"/>
    </font>
    <font>
      <b/>
      <sz val="12"/>
      <name val="Arial"/>
      <family val="2"/>
    </font>
    <font>
      <sz val="12"/>
      <name val="Arial"/>
      <family val="2"/>
    </font>
    <font>
      <sz val="12"/>
      <color rgb="FF000000"/>
      <name val="Arial"/>
      <family val="2"/>
    </font>
    <font>
      <b/>
      <sz val="12"/>
      <color rgb="FF006100"/>
      <name val="Arial"/>
      <family val="2"/>
    </font>
    <font>
      <sz val="12"/>
      <color rgb="FF006100"/>
      <name val="Arial"/>
      <family val="2"/>
    </font>
    <font>
      <b/>
      <sz val="14"/>
      <color rgb="FF000000"/>
      <name val="Arial"/>
      <family val="2"/>
    </font>
    <font>
      <b/>
      <sz val="16"/>
      <color rgb="FF000000"/>
      <name val="Arial"/>
      <family val="2"/>
    </font>
    <font>
      <i/>
      <sz val="12"/>
      <color theme="1"/>
      <name val="Arial"/>
      <family val="2"/>
    </font>
    <font>
      <b/>
      <sz val="14"/>
      <color theme="1"/>
      <name val="Arial"/>
      <family val="2"/>
    </font>
    <font>
      <b/>
      <sz val="14"/>
      <name val="Arial"/>
      <family val="2"/>
    </font>
    <font>
      <b/>
      <sz val="14"/>
      <color rgb="FF002060"/>
      <name val="Arial"/>
      <family val="2"/>
    </font>
    <font>
      <b/>
      <sz val="16"/>
      <color rgb="FF002060"/>
      <name val="Arial"/>
      <family val="2"/>
    </font>
    <font>
      <b/>
      <sz val="22"/>
      <color rgb="FF002060"/>
      <name val="Calibri"/>
      <family val="2"/>
      <scheme val="minor"/>
    </font>
    <font>
      <b/>
      <sz val="22"/>
      <color rgb="FF002060"/>
      <name val="Calibri"/>
      <family val="2"/>
    </font>
    <font>
      <b/>
      <sz val="24"/>
      <color rgb="FF002060"/>
      <name val="Calibri"/>
      <family val="2"/>
    </font>
    <font>
      <b/>
      <sz val="22"/>
      <color rgb="FF002060"/>
      <name val="Arial"/>
      <family val="2"/>
    </font>
    <font>
      <i/>
      <sz val="12"/>
      <name val="Arial"/>
      <family val="2"/>
    </font>
    <font>
      <sz val="12"/>
      <color theme="0"/>
      <name val="Arial"/>
      <family val="2"/>
    </font>
    <font>
      <b/>
      <sz val="11"/>
      <color rgb="FFFF0000"/>
      <name val="Wingdings"/>
      <charset val="2"/>
    </font>
    <font>
      <b/>
      <sz val="12"/>
      <color rgb="FFFF0000"/>
      <name val="Wingdings"/>
      <charset val="2"/>
    </font>
    <font>
      <b/>
      <sz val="16"/>
      <color rgb="FF006100"/>
      <name val="Arial"/>
      <family val="2"/>
    </font>
    <font>
      <b/>
      <sz val="12"/>
      <color rgb="FFFF0000"/>
      <name val="Arial"/>
      <family val="2"/>
    </font>
    <font>
      <b/>
      <u/>
      <sz val="16"/>
      <color theme="0"/>
      <name val="Arial"/>
      <family val="2"/>
    </font>
    <font>
      <b/>
      <u/>
      <sz val="12"/>
      <color rgb="FF002060"/>
      <name val="Arial"/>
      <family val="2"/>
    </font>
    <font>
      <sz val="12"/>
      <color rgb="FF002060"/>
      <name val="Arial"/>
      <family val="2"/>
    </font>
    <font>
      <b/>
      <u/>
      <sz val="16"/>
      <color theme="1"/>
      <name val="Arial"/>
      <family val="2"/>
    </font>
    <font>
      <i/>
      <sz val="14"/>
      <name val="Arial"/>
      <family val="2"/>
    </font>
    <font>
      <b/>
      <sz val="14"/>
      <color rgb="FFFF0000"/>
      <name val="Wingdings"/>
      <charset val="2"/>
    </font>
    <font>
      <i/>
      <sz val="10"/>
      <color theme="1"/>
      <name val="Arial"/>
      <family val="2"/>
    </font>
    <font>
      <b/>
      <u/>
      <sz val="12"/>
      <color rgb="FF000000"/>
      <name val="Arial"/>
      <family val="2"/>
    </font>
    <font>
      <b/>
      <u/>
      <sz val="18"/>
      <color theme="10"/>
      <name val="Arial"/>
      <family val="2"/>
    </font>
    <font>
      <sz val="18"/>
      <color theme="0"/>
      <name val="Arial"/>
      <family val="2"/>
    </font>
    <font>
      <b/>
      <sz val="18"/>
      <color theme="0"/>
      <name val="Arial"/>
      <family val="2"/>
    </font>
  </fonts>
  <fills count="19">
    <fill>
      <patternFill patternType="none"/>
    </fill>
    <fill>
      <patternFill patternType="gray125"/>
    </fill>
    <fill>
      <patternFill patternType="solid">
        <fgColor rgb="FFA5A5A5"/>
      </patternFill>
    </fill>
    <fill>
      <patternFill patternType="solid">
        <fgColor rgb="FFC6EFCE"/>
      </patternFill>
    </fill>
    <fill>
      <patternFill patternType="solid">
        <fgColor theme="3" tint="0.79998168889431442"/>
        <bgColor indexed="64"/>
      </patternFill>
    </fill>
    <fill>
      <patternFill patternType="solid">
        <fgColor theme="4" tint="0.79998168889431442"/>
        <bgColor indexed="65"/>
      </patternFill>
    </fill>
    <fill>
      <patternFill patternType="solid">
        <fgColor rgb="FFFFFF00"/>
        <bgColor indexed="64"/>
      </patternFill>
    </fill>
    <fill>
      <patternFill patternType="solid">
        <fgColor theme="4"/>
        <bgColor theme="4"/>
      </patternFill>
    </fill>
    <fill>
      <gradientFill degree="270">
        <stop position="0">
          <color theme="3" tint="0.80001220740379042"/>
        </stop>
        <stop position="1">
          <color theme="4"/>
        </stop>
      </gradientFill>
    </fill>
    <fill>
      <patternFill patternType="solid">
        <fgColor theme="1"/>
        <bgColor indexed="64"/>
      </patternFill>
    </fill>
    <fill>
      <patternFill patternType="solid">
        <fgColor theme="0" tint="-0.14999847407452621"/>
        <bgColor indexed="64"/>
      </patternFill>
    </fill>
    <fill>
      <gradientFill degree="90">
        <stop position="0">
          <color theme="3" tint="0.80001220740379042"/>
        </stop>
        <stop position="1">
          <color theme="4"/>
        </stop>
      </gradient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C78F"/>
        <bgColor indexed="64"/>
      </patternFill>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rgb="FFC6EFCE"/>
        <bgColor indexed="64"/>
      </patternFill>
    </fill>
  </fills>
  <borders count="64">
    <border>
      <left/>
      <right/>
      <top/>
      <bottom/>
      <diagonal/>
    </border>
    <border>
      <left style="double">
        <color rgb="FF3F3F3F"/>
      </left>
      <right style="double">
        <color rgb="FF3F3F3F"/>
      </right>
      <top style="double">
        <color rgb="FF3F3F3F"/>
      </top>
      <bottom style="double">
        <color rgb="FF3F3F3F"/>
      </bottom>
      <diagonal/>
    </border>
    <border>
      <left/>
      <right/>
      <top style="thin">
        <color rgb="FF002060"/>
      </top>
      <bottom style="thin">
        <color rgb="FF002060"/>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bottom style="thin">
        <color rgb="FF002060"/>
      </bottom>
      <diagonal/>
    </border>
    <border>
      <left/>
      <right/>
      <top style="thin">
        <color rgb="FF002060"/>
      </top>
      <bottom/>
      <diagonal/>
    </border>
    <border>
      <left style="thick">
        <color rgb="FF002060"/>
      </left>
      <right/>
      <top/>
      <bottom/>
      <diagonal/>
    </border>
    <border>
      <left style="thick">
        <color rgb="FF002060"/>
      </left>
      <right/>
      <top/>
      <bottom style="thin">
        <color rgb="FF002060"/>
      </bottom>
      <diagonal/>
    </border>
    <border>
      <left style="thick">
        <color rgb="FF002060"/>
      </left>
      <right/>
      <top style="thin">
        <color rgb="FF002060"/>
      </top>
      <bottom/>
      <diagonal/>
    </border>
    <border>
      <left style="thick">
        <color rgb="FF002060"/>
      </left>
      <right/>
      <top style="thin">
        <color rgb="FF002060"/>
      </top>
      <bottom style="thin">
        <color rgb="FF002060"/>
      </bottom>
      <diagonal/>
    </border>
    <border>
      <left/>
      <right style="thick">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ck">
        <color rgb="FF002060"/>
      </left>
      <right style="thin">
        <color theme="0"/>
      </right>
      <top style="thin">
        <color rgb="FF002060"/>
      </top>
      <bottom style="thin">
        <color theme="0"/>
      </bottom>
      <diagonal/>
    </border>
    <border>
      <left style="thick">
        <color auto="1"/>
      </left>
      <right/>
      <top/>
      <bottom/>
      <diagonal/>
    </border>
    <border>
      <left style="thick">
        <color auto="1"/>
      </left>
      <right/>
      <top style="thin">
        <color rgb="FF002060"/>
      </top>
      <bottom/>
      <diagonal/>
    </border>
    <border>
      <left/>
      <right style="thick">
        <color auto="1"/>
      </right>
      <top style="thin">
        <color rgb="FF002060"/>
      </top>
      <bottom style="thin">
        <color rgb="FF002060"/>
      </bottom>
      <diagonal/>
    </border>
    <border>
      <left/>
      <right style="thick">
        <color auto="1"/>
      </right>
      <top style="thin">
        <color rgb="FF002060"/>
      </top>
      <bottom/>
      <diagonal/>
    </border>
    <border>
      <left style="thin">
        <color theme="4" tint="0.39997558519241921"/>
      </left>
      <right/>
      <top/>
      <bottom/>
      <diagonal/>
    </border>
    <border>
      <left/>
      <right/>
      <top style="thick">
        <color auto="1"/>
      </top>
      <bottom style="thin">
        <color rgb="FF002060"/>
      </bottom>
      <diagonal/>
    </border>
    <border>
      <left/>
      <right style="thick">
        <color rgb="FF002060"/>
      </right>
      <top style="thick">
        <color auto="1"/>
      </top>
      <bottom style="thin">
        <color rgb="FF002060"/>
      </bottom>
      <diagonal/>
    </border>
    <border>
      <left style="thick">
        <color auto="1"/>
      </left>
      <right style="thick">
        <color auto="1"/>
      </right>
      <top style="thin">
        <color rgb="FF002060"/>
      </top>
      <bottom style="thin">
        <color theme="0" tint="-0.24994659260841701"/>
      </bottom>
      <diagonal/>
    </border>
    <border>
      <left style="thick">
        <color auto="1"/>
      </left>
      <right style="thick">
        <color auto="1"/>
      </right>
      <top/>
      <bottom/>
      <diagonal/>
    </border>
    <border>
      <left style="thick">
        <color auto="1"/>
      </left>
      <right style="thick">
        <color auto="1"/>
      </right>
      <top/>
      <bottom style="thin">
        <color rgb="FF002060"/>
      </bottom>
      <diagonal/>
    </border>
    <border>
      <left style="thick">
        <color rgb="FF002060"/>
      </left>
      <right/>
      <top style="thick">
        <color auto="1"/>
      </top>
      <bottom style="thin">
        <color rgb="FF002060"/>
      </bottom>
      <diagonal/>
    </border>
    <border>
      <left/>
      <right style="thick">
        <color rgb="FF002060"/>
      </right>
      <top/>
      <bottom style="thin">
        <color rgb="FF002060"/>
      </bottom>
      <diagonal/>
    </border>
    <border>
      <left style="thin">
        <color theme="0"/>
      </left>
      <right style="thin">
        <color theme="0"/>
      </right>
      <top style="thin">
        <color rgb="FF002060"/>
      </top>
      <bottom style="thin">
        <color rgb="FF002060"/>
      </bottom>
      <diagonal/>
    </border>
    <border>
      <left/>
      <right style="thick">
        <color rgb="FF002060"/>
      </right>
      <top style="thin">
        <color rgb="FF002060"/>
      </top>
      <bottom/>
      <diagonal/>
    </border>
    <border>
      <left/>
      <right style="thick">
        <color rgb="FF002060"/>
      </right>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s>
  <cellStyleXfs count="9">
    <xf numFmtId="0" fontId="0" fillId="0" borderId="0"/>
    <xf numFmtId="0" fontId="1" fillId="2" borderId="1" applyNumberFormat="0" applyAlignment="0" applyProtection="0"/>
    <xf numFmtId="0" fontId="2" fillId="3" borderId="0" applyNumberFormat="0" applyBorder="0" applyAlignment="0" applyProtection="0"/>
    <xf numFmtId="44" fontId="3" fillId="0" borderId="0" applyFont="0" applyFill="0" applyBorder="0" applyAlignment="0" applyProtection="0"/>
    <xf numFmtId="0" fontId="3" fillId="5" borderId="0" applyNumberFormat="0" applyBorder="0" applyAlignment="0" applyProtection="0"/>
    <xf numFmtId="0" fontId="12" fillId="0" borderId="0"/>
    <xf numFmtId="0" fontId="19"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338">
    <xf numFmtId="0" fontId="0" fillId="0" borderId="0" xfId="0"/>
    <xf numFmtId="0" fontId="0" fillId="0" borderId="0" xfId="0" applyAlignment="1">
      <alignment wrapText="1"/>
    </xf>
    <xf numFmtId="0" fontId="6" fillId="0" borderId="5" xfId="0" applyFont="1" applyFill="1" applyBorder="1" applyAlignment="1">
      <alignment vertical="center" wrapText="1"/>
    </xf>
    <xf numFmtId="0" fontId="7" fillId="0" borderId="7" xfId="0" applyFont="1" applyBorder="1" applyAlignment="1">
      <alignment wrapText="1"/>
    </xf>
    <xf numFmtId="0" fontId="7" fillId="0" borderId="0" xfId="0" applyFont="1" applyBorder="1" applyAlignment="1">
      <alignment wrapText="1"/>
    </xf>
    <xf numFmtId="0" fontId="0" fillId="0" borderId="0" xfId="0" applyFont="1" applyBorder="1"/>
    <xf numFmtId="0" fontId="0" fillId="0" borderId="0" xfId="0" applyFont="1" applyAlignment="1">
      <alignment wrapText="1"/>
    </xf>
    <xf numFmtId="0" fontId="8" fillId="10" borderId="4" xfId="0" applyFont="1" applyFill="1" applyBorder="1" applyAlignment="1">
      <alignment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0" borderId="4" xfId="0" applyFont="1" applyFill="1" applyBorder="1" applyAlignment="1">
      <alignment horizontal="left" wrapText="1"/>
    </xf>
    <xf numFmtId="164" fontId="8" fillId="0" borderId="5" xfId="0" applyNumberFormat="1" applyFont="1" applyFill="1" applyBorder="1" applyAlignment="1">
      <alignment horizontal="center" wrapText="1"/>
    </xf>
    <xf numFmtId="165" fontId="8" fillId="0" borderId="5" xfId="0" applyNumberFormat="1" applyFont="1" applyFill="1" applyBorder="1" applyAlignment="1">
      <alignment horizontal="center" wrapText="1"/>
    </xf>
    <xf numFmtId="167" fontId="8" fillId="0" borderId="5" xfId="0" applyNumberFormat="1" applyFont="1" applyFill="1" applyBorder="1" applyAlignment="1">
      <alignment horizontal="center" wrapText="1"/>
    </xf>
    <xf numFmtId="164" fontId="8" fillId="0" borderId="6" xfId="0" applyNumberFormat="1" applyFont="1" applyBorder="1" applyAlignment="1">
      <alignment horizontal="center" wrapText="1"/>
    </xf>
    <xf numFmtId="0" fontId="8" fillId="10" borderId="9" xfId="0" applyFont="1" applyFill="1" applyBorder="1" applyAlignment="1">
      <alignment horizontal="left" vertical="center" wrapText="1"/>
    </xf>
    <xf numFmtId="3" fontId="8" fillId="6" borderId="13" xfId="0" applyNumberFormat="1" applyFont="1" applyFill="1" applyBorder="1" applyAlignment="1" applyProtection="1">
      <alignment horizontal="center" vertical="center" wrapText="1"/>
      <protection locked="0"/>
    </xf>
    <xf numFmtId="0" fontId="8" fillId="0" borderId="7" xfId="0" applyFont="1" applyFill="1" applyBorder="1" applyAlignment="1">
      <alignment horizontal="left" wrapText="1"/>
    </xf>
    <xf numFmtId="164" fontId="8" fillId="0" borderId="0" xfId="0" applyNumberFormat="1" applyFont="1" applyFill="1" applyBorder="1" applyAlignment="1">
      <alignment horizontal="center" wrapText="1"/>
    </xf>
    <xf numFmtId="165" fontId="8" fillId="0" borderId="0" xfId="0" applyNumberFormat="1" applyFont="1" applyFill="1" applyBorder="1" applyAlignment="1">
      <alignment horizontal="center" wrapText="1"/>
    </xf>
    <xf numFmtId="167" fontId="8" fillId="0" borderId="0" xfId="0" applyNumberFormat="1" applyFont="1" applyFill="1" applyBorder="1" applyAlignment="1">
      <alignment horizontal="center" wrapText="1"/>
    </xf>
    <xf numFmtId="164" fontId="8" fillId="0" borderId="8" xfId="0" applyNumberFormat="1" applyFont="1" applyBorder="1" applyAlignment="1">
      <alignment horizontal="center" wrapText="1"/>
    </xf>
    <xf numFmtId="0" fontId="8" fillId="0" borderId="14" xfId="0" applyFont="1" applyFill="1" applyBorder="1" applyAlignment="1">
      <alignment horizontal="left" wrapText="1"/>
    </xf>
    <xf numFmtId="164" fontId="8" fillId="0" borderId="15" xfId="0" applyNumberFormat="1" applyFont="1" applyFill="1" applyBorder="1" applyAlignment="1">
      <alignment horizontal="center" wrapText="1"/>
    </xf>
    <xf numFmtId="165" fontId="8" fillId="0" borderId="15" xfId="0" applyNumberFormat="1" applyFont="1" applyFill="1" applyBorder="1" applyAlignment="1">
      <alignment horizontal="center" wrapText="1"/>
    </xf>
    <xf numFmtId="167" fontId="8" fillId="0" borderId="15" xfId="0" applyNumberFormat="1" applyFont="1" applyFill="1" applyBorder="1" applyAlignment="1">
      <alignment horizontal="center" wrapText="1"/>
    </xf>
    <xf numFmtId="164" fontId="8" fillId="0" borderId="16" xfId="0" applyNumberFormat="1" applyFont="1" applyBorder="1" applyAlignment="1">
      <alignment horizontal="center" wrapText="1"/>
    </xf>
    <xf numFmtId="168" fontId="8" fillId="6" borderId="6" xfId="0" applyNumberFormat="1" applyFont="1" applyFill="1" applyBorder="1" applyAlignment="1" applyProtection="1">
      <alignment horizontal="center" vertical="center" wrapText="1"/>
      <protection locked="0"/>
    </xf>
    <xf numFmtId="164" fontId="8" fillId="0" borderId="0" xfId="0" applyNumberFormat="1" applyFont="1" applyFill="1" applyBorder="1" applyAlignment="1">
      <alignment horizontal="left" wrapText="1"/>
    </xf>
    <xf numFmtId="169" fontId="8" fillId="0" borderId="0" xfId="0" applyNumberFormat="1" applyFont="1" applyFill="1" applyBorder="1" applyAlignment="1">
      <alignment horizontal="left" wrapText="1"/>
    </xf>
    <xf numFmtId="164" fontId="8" fillId="0" borderId="8" xfId="0" applyNumberFormat="1" applyFont="1" applyBorder="1" applyAlignment="1">
      <alignment horizontal="left" wrapText="1"/>
    </xf>
    <xf numFmtId="3" fontId="8" fillId="6" borderId="6" xfId="0" applyNumberFormat="1" applyFont="1" applyFill="1" applyBorder="1" applyAlignment="1" applyProtection="1">
      <alignment horizontal="center" vertical="center" wrapText="1"/>
      <protection locked="0"/>
    </xf>
    <xf numFmtId="167" fontId="8" fillId="10" borderId="19" xfId="0" applyNumberFormat="1" applyFont="1" applyFill="1" applyBorder="1" applyAlignment="1">
      <alignment horizontal="center" vertical="center" wrapText="1"/>
    </xf>
    <xf numFmtId="0" fontId="7" fillId="0" borderId="8" xfId="0" applyFont="1" applyBorder="1" applyAlignment="1">
      <alignment horizontal="left" wrapText="1"/>
    </xf>
    <xf numFmtId="0" fontId="8" fillId="10" borderId="4" xfId="0" applyFont="1" applyFill="1" applyBorder="1" applyAlignment="1">
      <alignment horizontal="left" vertical="center" wrapText="1"/>
    </xf>
    <xf numFmtId="164" fontId="8" fillId="10" borderId="22" xfId="0" applyNumberFormat="1" applyFont="1" applyFill="1" applyBorder="1" applyAlignment="1">
      <alignment horizontal="center" vertical="center" wrapText="1"/>
    </xf>
    <xf numFmtId="0" fontId="7" fillId="0" borderId="8" xfId="0" applyFont="1" applyBorder="1" applyAlignment="1">
      <alignment wrapText="1"/>
    </xf>
    <xf numFmtId="0" fontId="10" fillId="10" borderId="17" xfId="0" applyFont="1" applyFill="1" applyBorder="1" applyAlignment="1">
      <alignment horizontal="left"/>
    </xf>
    <xf numFmtId="0" fontId="10" fillId="10" borderId="19" xfId="0" applyFont="1" applyFill="1" applyBorder="1" applyAlignment="1">
      <alignment horizontal="left"/>
    </xf>
    <xf numFmtId="170" fontId="8" fillId="10" borderId="22" xfId="0" applyNumberFormat="1" applyFont="1" applyFill="1" applyBorder="1" applyAlignment="1">
      <alignment horizontal="center" vertical="center" wrapText="1"/>
    </xf>
    <xf numFmtId="0" fontId="8" fillId="0" borderId="8" xfId="0" applyFont="1" applyBorder="1" applyAlignment="1">
      <alignment wrapText="1"/>
    </xf>
    <xf numFmtId="0" fontId="10" fillId="10" borderId="20" xfId="0" applyFont="1" applyFill="1" applyBorder="1" applyAlignment="1">
      <alignment horizontal="left"/>
    </xf>
    <xf numFmtId="0" fontId="10" fillId="10" borderId="22" xfId="0" applyFont="1" applyFill="1" applyBorder="1" applyAlignment="1">
      <alignment horizontal="left"/>
    </xf>
    <xf numFmtId="0" fontId="10" fillId="6" borderId="22" xfId="0" applyFont="1" applyFill="1" applyBorder="1" applyAlignment="1" applyProtection="1">
      <alignment horizontal="center"/>
      <protection locked="0"/>
    </xf>
    <xf numFmtId="164" fontId="11" fillId="3" borderId="22" xfId="2" applyNumberFormat="1" applyFont="1" applyBorder="1" applyAlignment="1">
      <alignment horizontal="center" vertical="center" wrapText="1"/>
    </xf>
    <xf numFmtId="164" fontId="8" fillId="0" borderId="8" xfId="0" applyNumberFormat="1" applyFont="1" applyBorder="1" applyAlignment="1">
      <alignment wrapText="1"/>
    </xf>
    <xf numFmtId="0" fontId="8" fillId="10" borderId="17" xfId="0" applyFont="1" applyFill="1" applyBorder="1" applyAlignment="1">
      <alignment horizontal="left" wrapText="1"/>
    </xf>
    <xf numFmtId="164" fontId="10" fillId="6" borderId="19" xfId="0" applyNumberFormat="1" applyFont="1" applyFill="1" applyBorder="1" applyAlignment="1" applyProtection="1">
      <alignment horizontal="center" vertical="center"/>
      <protection locked="0"/>
    </xf>
    <xf numFmtId="0" fontId="10" fillId="10" borderId="20" xfId="0" applyFont="1" applyFill="1" applyBorder="1" applyAlignment="1">
      <alignment horizontal="left" vertical="center"/>
    </xf>
    <xf numFmtId="164" fontId="10" fillId="6" borderId="22" xfId="0" applyNumberFormat="1" applyFont="1" applyFill="1" applyBorder="1" applyAlignment="1" applyProtection="1">
      <alignment horizontal="center" vertical="center"/>
      <protection locked="0"/>
    </xf>
    <xf numFmtId="164" fontId="11" fillId="3" borderId="27" xfId="2" applyNumberFormat="1" applyFont="1" applyBorder="1" applyAlignment="1">
      <alignment wrapText="1"/>
    </xf>
    <xf numFmtId="4" fontId="8" fillId="10" borderId="22" xfId="0" applyNumberFormat="1" applyFont="1" applyFill="1" applyBorder="1" applyAlignment="1">
      <alignment horizontal="center" vertical="center" wrapText="1"/>
    </xf>
    <xf numFmtId="4" fontId="11" fillId="3" borderId="25" xfId="2" applyNumberFormat="1" applyFont="1" applyBorder="1" applyAlignment="1">
      <alignment wrapText="1"/>
    </xf>
    <xf numFmtId="4" fontId="8" fillId="10" borderId="22" xfId="0" applyNumberFormat="1" applyFont="1" applyFill="1" applyBorder="1" applyAlignment="1">
      <alignment horizontal="center" wrapText="1"/>
    </xf>
    <xf numFmtId="4" fontId="8" fillId="10" borderId="33" xfId="0" applyNumberFormat="1" applyFont="1" applyFill="1" applyBorder="1" applyAlignment="1">
      <alignment horizontal="center" wrapText="1"/>
    </xf>
    <xf numFmtId="0" fontId="7" fillId="0" borderId="26" xfId="0" applyFont="1" applyBorder="1" applyAlignment="1">
      <alignment wrapText="1"/>
    </xf>
    <xf numFmtId="0" fontId="8" fillId="0" borderId="11" xfId="0" applyFont="1" applyFill="1" applyBorder="1" applyAlignment="1">
      <alignment horizontal="left" vertical="center" wrapText="1"/>
    </xf>
    <xf numFmtId="4" fontId="8" fillId="0" borderId="11" xfId="0" applyNumberFormat="1" applyFont="1" applyFill="1" applyBorder="1" applyAlignment="1">
      <alignment horizontal="center" wrapText="1"/>
    </xf>
    <xf numFmtId="164" fontId="8" fillId="0" borderId="12" xfId="0" applyNumberFormat="1" applyFont="1" applyBorder="1" applyAlignment="1">
      <alignment wrapText="1"/>
    </xf>
    <xf numFmtId="0" fontId="0" fillId="0" borderId="0" xfId="0" applyAlignment="1"/>
    <xf numFmtId="0" fontId="5" fillId="11" borderId="26"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0" fillId="0" borderId="0" xfId="0" applyAlignment="1">
      <alignment horizontal="center" wrapText="1"/>
    </xf>
    <xf numFmtId="164" fontId="0" fillId="0" borderId="0" xfId="0" applyNumberFormat="1" applyAlignment="1">
      <alignment wrapText="1"/>
    </xf>
    <xf numFmtId="0" fontId="0" fillId="12" borderId="4" xfId="0" applyFill="1" applyBorder="1" applyAlignment="1">
      <alignment wrapText="1"/>
    </xf>
    <xf numFmtId="0" fontId="0" fillId="12" borderId="5" xfId="0" applyFill="1" applyBorder="1" applyAlignment="1">
      <alignment wrapText="1"/>
    </xf>
    <xf numFmtId="0" fontId="0" fillId="12" borderId="5" xfId="0" applyFill="1" applyBorder="1" applyAlignment="1">
      <alignment horizontal="center" wrapText="1"/>
    </xf>
    <xf numFmtId="0" fontId="0" fillId="12" borderId="6" xfId="0" applyFill="1" applyBorder="1" applyAlignment="1">
      <alignment wrapText="1"/>
    </xf>
    <xf numFmtId="0" fontId="0" fillId="12" borderId="7" xfId="0" applyFill="1" applyBorder="1" applyAlignment="1">
      <alignment wrapText="1"/>
    </xf>
    <xf numFmtId="0" fontId="0" fillId="12" borderId="0" xfId="0" applyFill="1" applyBorder="1" applyAlignment="1">
      <alignment wrapText="1"/>
    </xf>
    <xf numFmtId="0" fontId="0" fillId="12" borderId="0" xfId="0" applyFill="1" applyBorder="1" applyAlignment="1">
      <alignment horizontal="center" wrapText="1"/>
    </xf>
    <xf numFmtId="0" fontId="0" fillId="12" borderId="8" xfId="0" applyFill="1" applyBorder="1" applyAlignment="1">
      <alignment wrapText="1"/>
    </xf>
    <xf numFmtId="0" fontId="6" fillId="12" borderId="5" xfId="0" applyFont="1" applyFill="1" applyBorder="1" applyAlignment="1">
      <alignment vertical="center" wrapText="1"/>
    </xf>
    <xf numFmtId="0" fontId="6" fillId="12" borderId="6" xfId="0" applyFont="1" applyFill="1" applyBorder="1" applyAlignment="1">
      <alignment vertical="center" wrapText="1"/>
    </xf>
    <xf numFmtId="0" fontId="7" fillId="12" borderId="0" xfId="0" applyFont="1" applyFill="1" applyBorder="1" applyAlignment="1">
      <alignment wrapText="1"/>
    </xf>
    <xf numFmtId="0" fontId="7" fillId="12" borderId="8" xfId="0" applyFont="1" applyFill="1" applyBorder="1" applyAlignment="1">
      <alignment wrapText="1"/>
    </xf>
    <xf numFmtId="0" fontId="7" fillId="12" borderId="7" xfId="0" applyFont="1" applyFill="1" applyBorder="1" applyAlignment="1">
      <alignment wrapText="1"/>
    </xf>
    <xf numFmtId="0" fontId="8" fillId="12" borderId="0" xfId="0" applyFont="1" applyFill="1" applyBorder="1" applyAlignment="1">
      <alignment horizontal="center" wrapText="1"/>
    </xf>
    <xf numFmtId="9" fontId="8" fillId="12" borderId="0" xfId="0" applyNumberFormat="1" applyFont="1" applyFill="1" applyBorder="1" applyAlignment="1">
      <alignment horizontal="right" wrapText="1"/>
    </xf>
    <xf numFmtId="0" fontId="8" fillId="12" borderId="0" xfId="0" applyFont="1" applyFill="1" applyBorder="1" applyAlignment="1">
      <alignment wrapText="1"/>
    </xf>
    <xf numFmtId="0" fontId="9" fillId="12" borderId="0" xfId="0" applyFont="1" applyFill="1" applyBorder="1"/>
    <xf numFmtId="0" fontId="7" fillId="12" borderId="28" xfId="0" applyFont="1" applyFill="1" applyBorder="1" applyAlignment="1">
      <alignment wrapText="1"/>
    </xf>
    <xf numFmtId="0" fontId="7" fillId="12" borderId="29" xfId="0" applyFont="1" applyFill="1" applyBorder="1" applyAlignment="1">
      <alignment wrapText="1"/>
    </xf>
    <xf numFmtId="0" fontId="7" fillId="12" borderId="0" xfId="0" applyFont="1" applyFill="1" applyBorder="1" applyAlignment="1">
      <alignment horizontal="center" wrapText="1"/>
    </xf>
    <xf numFmtId="0" fontId="7" fillId="12" borderId="8" xfId="0" applyFont="1" applyFill="1" applyBorder="1" applyAlignment="1">
      <alignment horizontal="center" wrapText="1"/>
    </xf>
    <xf numFmtId="0" fontId="8" fillId="12" borderId="0" xfId="0" applyFont="1" applyFill="1" applyBorder="1" applyAlignment="1">
      <alignment horizontal="left" vertical="center" wrapText="1"/>
    </xf>
    <xf numFmtId="4" fontId="8" fillId="12" borderId="0" xfId="0" applyNumberFormat="1" applyFont="1" applyFill="1" applyBorder="1" applyAlignment="1">
      <alignment horizontal="center" wrapText="1"/>
    </xf>
    <xf numFmtId="164" fontId="8" fillId="12" borderId="0" xfId="0" applyNumberFormat="1" applyFont="1" applyFill="1" applyBorder="1" applyAlignment="1">
      <alignment wrapText="1"/>
    </xf>
    <xf numFmtId="0" fontId="4" fillId="12" borderId="7" xfId="0" applyFont="1" applyFill="1" applyBorder="1" applyAlignment="1">
      <alignment wrapText="1"/>
    </xf>
    <xf numFmtId="0" fontId="8" fillId="12" borderId="0" xfId="0" applyFont="1" applyFill="1" applyBorder="1" applyAlignment="1">
      <alignment horizontal="center" vertical="center" wrapText="1"/>
    </xf>
    <xf numFmtId="4" fontId="8" fillId="12" borderId="0" xfId="0" applyNumberFormat="1" applyFont="1" applyFill="1" applyBorder="1" applyAlignment="1">
      <alignment horizontal="center" vertical="center" wrapText="1"/>
    </xf>
    <xf numFmtId="0" fontId="4" fillId="12" borderId="0" xfId="0" applyFont="1" applyFill="1" applyBorder="1" applyAlignment="1">
      <alignment wrapText="1"/>
    </xf>
    <xf numFmtId="0" fontId="16" fillId="0" borderId="0" xfId="5" applyFont="1" applyProtection="1"/>
    <xf numFmtId="0" fontId="4" fillId="0" borderId="0" xfId="5" applyFont="1" applyAlignment="1" applyProtection="1">
      <alignment horizontal="left" indent="2"/>
    </xf>
    <xf numFmtId="0" fontId="4" fillId="0" borderId="0" xfId="5" applyFont="1" applyProtection="1"/>
    <xf numFmtId="164" fontId="4" fillId="0" borderId="0" xfId="5" applyNumberFormat="1" applyFont="1" applyAlignment="1" applyProtection="1">
      <alignment horizontal="right" indent="2"/>
    </xf>
    <xf numFmtId="2" fontId="4" fillId="0" borderId="0" xfId="5" applyNumberFormat="1" applyFont="1" applyAlignment="1" applyProtection="1">
      <alignment horizontal="right" indent="2"/>
    </xf>
    <xf numFmtId="0" fontId="17" fillId="0" borderId="0" xfId="5" applyFont="1" applyFill="1" applyBorder="1" applyAlignment="1" applyProtection="1">
      <alignment horizontal="center" vertical="center" wrapText="1"/>
    </xf>
    <xf numFmtId="2" fontId="17" fillId="0" borderId="0" xfId="5" applyNumberFormat="1" applyFont="1" applyFill="1" applyBorder="1" applyAlignment="1" applyProtection="1">
      <alignment horizontal="center" vertical="center" wrapText="1"/>
    </xf>
    <xf numFmtId="3" fontId="17" fillId="0" borderId="0" xfId="5" applyNumberFormat="1" applyFont="1" applyFill="1" applyBorder="1" applyAlignment="1" applyProtection="1">
      <alignment horizontal="center" vertical="center" wrapText="1"/>
    </xf>
    <xf numFmtId="0" fontId="16" fillId="0" borderId="0" xfId="5" applyFont="1" applyFill="1" applyProtection="1"/>
    <xf numFmtId="0" fontId="20" fillId="7" borderId="0" xfId="5" applyFont="1" applyFill="1" applyBorder="1" applyAlignment="1" applyProtection="1">
      <alignment horizontal="center" vertical="center" wrapText="1"/>
    </xf>
    <xf numFmtId="2" fontId="20" fillId="7" borderId="0" xfId="5" applyNumberFormat="1" applyFont="1" applyFill="1" applyBorder="1" applyAlignment="1" applyProtection="1">
      <alignment horizontal="center" vertical="center" wrapText="1"/>
    </xf>
    <xf numFmtId="3" fontId="20" fillId="7" borderId="0" xfId="5" applyNumberFormat="1" applyFont="1" applyFill="1" applyBorder="1" applyAlignment="1" applyProtection="1">
      <alignment horizontal="center" vertical="center" wrapText="1"/>
    </xf>
    <xf numFmtId="0" fontId="20" fillId="0" borderId="0" xfId="5" applyFont="1" applyFill="1" applyBorder="1" applyAlignment="1" applyProtection="1">
      <alignment horizontal="center" vertical="center" wrapText="1"/>
    </xf>
    <xf numFmtId="2" fontId="20" fillId="0" borderId="0" xfId="5" applyNumberFormat="1" applyFont="1" applyFill="1" applyBorder="1" applyAlignment="1" applyProtection="1">
      <alignment horizontal="center" vertical="center" wrapText="1"/>
    </xf>
    <xf numFmtId="3" fontId="20" fillId="0" borderId="0"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indent="2"/>
    </xf>
    <xf numFmtId="0" fontId="21" fillId="0" borderId="0" xfId="6" applyFont="1" applyFill="1" applyBorder="1" applyAlignment="1" applyProtection="1">
      <alignment horizontal="left" wrapText="1" indent="2"/>
    </xf>
    <xf numFmtId="0" fontId="22" fillId="0" borderId="0" xfId="5" applyFont="1" applyBorder="1" applyAlignment="1" applyProtection="1">
      <alignment horizontal="center" vertical="center"/>
    </xf>
    <xf numFmtId="0" fontId="22" fillId="0" borderId="0" xfId="5" applyFont="1" applyBorder="1" applyAlignment="1" applyProtection="1">
      <alignment horizontal="right" vertical="center" indent="2"/>
    </xf>
    <xf numFmtId="0" fontId="22" fillId="0" borderId="0" xfId="5" applyFont="1" applyBorder="1" applyAlignment="1" applyProtection="1">
      <alignment horizontal="left" vertical="center" indent="2"/>
    </xf>
    <xf numFmtId="1" fontId="22" fillId="14" borderId="21" xfId="5" applyNumberFormat="1" applyFont="1" applyFill="1" applyBorder="1" applyAlignment="1" applyProtection="1">
      <alignment horizontal="center" vertical="center" wrapText="1"/>
    </xf>
    <xf numFmtId="164" fontId="22" fillId="0" borderId="0" xfId="5" applyNumberFormat="1" applyFont="1" applyBorder="1" applyAlignment="1" applyProtection="1">
      <alignment horizontal="right" indent="2"/>
    </xf>
    <xf numFmtId="0" fontId="5" fillId="0" borderId="0" xfId="5" applyFont="1" applyBorder="1" applyAlignment="1" applyProtection="1">
      <alignment horizontal="left" vertical="center" indent="2"/>
    </xf>
    <xf numFmtId="0" fontId="21" fillId="0" borderId="0" xfId="6" applyFont="1" applyFill="1" applyBorder="1" applyAlignment="1" applyProtection="1">
      <alignment horizontal="left" vertical="center" indent="2" shrinkToFit="1"/>
    </xf>
    <xf numFmtId="0" fontId="22" fillId="0" borderId="0" xfId="5" applyFont="1" applyFill="1" applyBorder="1" applyAlignment="1" applyProtection="1">
      <alignment horizontal="left" indent="2"/>
    </xf>
    <xf numFmtId="0" fontId="22" fillId="0" borderId="0" xfId="5" applyFont="1" applyFill="1" applyBorder="1" applyAlignment="1" applyProtection="1">
      <alignment horizontal="left" wrapText="1"/>
    </xf>
    <xf numFmtId="0" fontId="22" fillId="0" borderId="0" xfId="5" applyFont="1" applyBorder="1" applyAlignment="1" applyProtection="1">
      <alignment horizontal="center" vertical="center" wrapText="1"/>
    </xf>
    <xf numFmtId="0" fontId="5" fillId="0" borderId="0" xfId="5" applyFont="1" applyFill="1" applyBorder="1" applyAlignment="1" applyProtection="1">
      <alignment horizontal="right" wrapText="1"/>
    </xf>
    <xf numFmtId="0" fontId="16" fillId="0" borderId="0" xfId="0" applyFont="1"/>
    <xf numFmtId="0" fontId="16" fillId="0" borderId="0" xfId="0" applyFont="1" applyAlignment="1">
      <alignment horizontal="center" vertical="center"/>
    </xf>
    <xf numFmtId="171" fontId="16" fillId="0" borderId="3" xfId="0" applyNumberFormat="1" applyFont="1" applyBorder="1" applyAlignment="1">
      <alignment horizontal="center" vertical="center"/>
    </xf>
    <xf numFmtId="0" fontId="16" fillId="0" borderId="35" xfId="0" applyFont="1" applyBorder="1"/>
    <xf numFmtId="0" fontId="16" fillId="0" borderId="35" xfId="0" applyFont="1" applyBorder="1" applyAlignment="1">
      <alignment horizontal="center" vertical="center"/>
    </xf>
    <xf numFmtId="164" fontId="16" fillId="0" borderId="35" xfId="0" applyNumberFormat="1" applyFont="1" applyBorder="1"/>
    <xf numFmtId="166" fontId="16" fillId="0" borderId="35" xfId="0" applyNumberFormat="1" applyFont="1" applyBorder="1"/>
    <xf numFmtId="3" fontId="16" fillId="0" borderId="35" xfId="0" applyNumberFormat="1" applyFont="1" applyBorder="1" applyAlignment="1">
      <alignment horizontal="center" vertical="center"/>
    </xf>
    <xf numFmtId="171" fontId="16" fillId="0" borderId="0" xfId="0" applyNumberFormat="1" applyFont="1" applyAlignment="1">
      <alignment horizontal="center" vertical="center"/>
    </xf>
    <xf numFmtId="0" fontId="16" fillId="0" borderId="35" xfId="0" applyFont="1" applyBorder="1" applyAlignment="1">
      <alignment horizontal="right" vertical="center"/>
    </xf>
    <xf numFmtId="171" fontId="16" fillId="0" borderId="0" xfId="0" applyNumberFormat="1" applyFont="1" applyBorder="1" applyAlignment="1">
      <alignment horizontal="center" vertical="center"/>
    </xf>
    <xf numFmtId="164" fontId="16" fillId="0" borderId="0" xfId="0" applyNumberFormat="1" applyFont="1"/>
    <xf numFmtId="0" fontId="16" fillId="0" borderId="0" xfId="0" applyFont="1" applyBorder="1" applyProtection="1"/>
    <xf numFmtId="0" fontId="18" fillId="4" borderId="0" xfId="0" applyFont="1" applyFill="1" applyBorder="1" applyAlignment="1" applyProtection="1">
      <alignment horizontal="center" vertical="center" wrapText="1"/>
    </xf>
    <xf numFmtId="0" fontId="24" fillId="4" borderId="0" xfId="0" applyFont="1" applyFill="1" applyBorder="1" applyAlignment="1" applyProtection="1">
      <alignment horizontal="center" vertical="center" wrapText="1"/>
    </xf>
    <xf numFmtId="1" fontId="26" fillId="0" borderId="0" xfId="0" applyNumberFormat="1" applyFont="1" applyFill="1" applyBorder="1" applyAlignment="1" applyProtection="1">
      <alignment horizontal="center" vertical="center"/>
    </xf>
    <xf numFmtId="3" fontId="26" fillId="0" borderId="0" xfId="0" applyNumberFormat="1" applyFont="1" applyFill="1" applyBorder="1" applyAlignment="1" applyProtection="1">
      <alignment horizontal="center" vertical="center"/>
    </xf>
    <xf numFmtId="0" fontId="16" fillId="0" borderId="0" xfId="0" applyFont="1" applyProtection="1"/>
    <xf numFmtId="44" fontId="28" fillId="0" borderId="0" xfId="2" applyNumberFormat="1" applyFont="1" applyFill="1" applyBorder="1" applyAlignment="1" applyProtection="1">
      <alignment horizontal="center"/>
    </xf>
    <xf numFmtId="0" fontId="27" fillId="15" borderId="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wrapText="1"/>
    </xf>
    <xf numFmtId="0" fontId="16" fillId="0" borderId="0" xfId="0" applyNumberFormat="1" applyFont="1" applyBorder="1" applyAlignment="1">
      <alignment horizontal="center" vertical="center"/>
    </xf>
    <xf numFmtId="0" fontId="16" fillId="0" borderId="0" xfId="0" applyNumberFormat="1" applyFont="1" applyBorder="1"/>
    <xf numFmtId="0" fontId="18" fillId="4" borderId="40" xfId="0" applyFont="1" applyFill="1" applyBorder="1" applyAlignment="1" applyProtection="1">
      <alignment horizontal="center" vertical="center" wrapText="1"/>
    </xf>
    <xf numFmtId="164" fontId="22" fillId="0" borderId="0" xfId="5" applyNumberFormat="1" applyFont="1" applyBorder="1" applyAlignment="1" applyProtection="1"/>
    <xf numFmtId="0" fontId="22" fillId="0" borderId="0" xfId="5" applyFont="1" applyBorder="1" applyAlignment="1" applyProtection="1">
      <alignment vertical="center"/>
    </xf>
    <xf numFmtId="164" fontId="22" fillId="14" borderId="21" xfId="5" applyNumberFormat="1" applyFont="1" applyFill="1" applyBorder="1" applyAlignment="1" applyProtection="1">
      <alignment horizontal="right" vertical="center" wrapText="1"/>
    </xf>
    <xf numFmtId="164" fontId="22" fillId="0" borderId="0" xfId="5" applyNumberFormat="1" applyFont="1" applyBorder="1" applyAlignment="1" applyProtection="1">
      <alignment horizontal="right" indent="1"/>
    </xf>
    <xf numFmtId="164" fontId="22" fillId="0" borderId="0" xfId="5" applyNumberFormat="1" applyFont="1" applyBorder="1" applyAlignment="1" applyProtection="1">
      <alignment horizontal="right" vertical="center" indent="1"/>
    </xf>
    <xf numFmtId="0" fontId="5" fillId="0" borderId="0" xfId="5" applyFont="1" applyFill="1" applyBorder="1" applyAlignment="1" applyProtection="1">
      <alignment horizontal="right" wrapText="1" indent="1"/>
    </xf>
    <xf numFmtId="3" fontId="33" fillId="13" borderId="2" xfId="1" applyNumberFormat="1" applyFont="1" applyFill="1" applyBorder="1" applyAlignment="1" applyProtection="1">
      <alignment horizontal="center" vertical="center"/>
      <protection locked="0"/>
    </xf>
    <xf numFmtId="0" fontId="35" fillId="0" borderId="41" xfId="0" applyFont="1" applyFill="1" applyBorder="1" applyAlignment="1" applyProtection="1">
      <alignment horizontal="right" vertical="center"/>
    </xf>
    <xf numFmtId="0" fontId="16" fillId="0" borderId="38" xfId="0" applyFont="1" applyBorder="1" applyProtection="1"/>
    <xf numFmtId="0" fontId="18" fillId="4" borderId="0" xfId="4" applyFont="1" applyFill="1" applyBorder="1" applyAlignment="1" applyProtection="1">
      <alignment horizontal="left" indent="1"/>
    </xf>
    <xf numFmtId="164" fontId="28" fillId="3" borderId="0" xfId="2" applyNumberFormat="1" applyFont="1" applyBorder="1" applyAlignment="1" applyProtection="1">
      <alignment horizontal="right" indent="1"/>
    </xf>
    <xf numFmtId="0" fontId="0" fillId="0" borderId="0" xfId="0" applyFill="1"/>
    <xf numFmtId="1" fontId="16" fillId="0" borderId="0" xfId="0" applyNumberFormat="1" applyFont="1" applyAlignment="1" applyProtection="1">
      <alignment horizontal="right" indent="1"/>
    </xf>
    <xf numFmtId="0" fontId="16" fillId="0" borderId="0" xfId="0" applyFont="1" applyBorder="1" applyAlignment="1" applyProtection="1">
      <alignment horizontal="right" indent="1"/>
    </xf>
    <xf numFmtId="0" fontId="16" fillId="0" borderId="38" xfId="0" applyFont="1" applyBorder="1" applyAlignment="1" applyProtection="1">
      <alignment horizontal="left" indent="1"/>
    </xf>
    <xf numFmtId="0" fontId="16" fillId="0" borderId="39" xfId="0" applyFont="1" applyBorder="1" applyAlignment="1" applyProtection="1">
      <alignment horizontal="left" indent="1"/>
    </xf>
    <xf numFmtId="0" fontId="35" fillId="0" borderId="45" xfId="0" applyFont="1" applyFill="1" applyBorder="1" applyAlignment="1" applyProtection="1">
      <alignment horizontal="center" vertical="center" wrapText="1"/>
    </xf>
    <xf numFmtId="0" fontId="27" fillId="13" borderId="38" xfId="0" applyFont="1" applyFill="1" applyBorder="1" applyAlignment="1" applyProtection="1">
      <alignment horizontal="left" indent="1"/>
      <protection locked="0"/>
    </xf>
    <xf numFmtId="0" fontId="27" fillId="13" borderId="39" xfId="0" applyFont="1" applyFill="1" applyBorder="1" applyAlignment="1" applyProtection="1">
      <alignment horizontal="left" indent="1"/>
      <protection locked="0"/>
    </xf>
    <xf numFmtId="0" fontId="16" fillId="0" borderId="38" xfId="0" applyFont="1" applyFill="1" applyBorder="1" applyAlignment="1" applyProtection="1">
      <alignment horizontal="left" indent="1"/>
    </xf>
    <xf numFmtId="0" fontId="16" fillId="0" borderId="39" xfId="0" applyFont="1" applyFill="1" applyBorder="1" applyAlignment="1" applyProtection="1">
      <alignment horizontal="left" indent="1"/>
    </xf>
    <xf numFmtId="0" fontId="4" fillId="0" borderId="0" xfId="0" applyFont="1" applyBorder="1" applyProtection="1">
      <protection locked="0"/>
    </xf>
    <xf numFmtId="1" fontId="27" fillId="13" borderId="0" xfId="0" applyNumberFormat="1" applyFont="1" applyFill="1" applyBorder="1" applyAlignment="1" applyProtection="1">
      <alignment horizontal="center" vertical="center"/>
      <protection locked="0"/>
    </xf>
    <xf numFmtId="164" fontId="26" fillId="0" borderId="0" xfId="0" applyNumberFormat="1" applyFont="1" applyFill="1" applyBorder="1" applyAlignment="1" applyProtection="1">
      <alignment horizontal="center" vertical="center"/>
    </xf>
    <xf numFmtId="3" fontId="26" fillId="0" borderId="0" xfId="8" applyNumberFormat="1" applyFont="1" applyFill="1" applyBorder="1" applyAlignment="1" applyProtection="1">
      <alignment horizontal="center" vertical="center"/>
    </xf>
    <xf numFmtId="171" fontId="17" fillId="7" borderId="0" xfId="0" applyNumberFormat="1" applyFont="1" applyFill="1" applyBorder="1" applyAlignment="1">
      <alignment horizontal="center"/>
    </xf>
    <xf numFmtId="0" fontId="16" fillId="0" borderId="0" xfId="0" applyFont="1" applyAlignment="1">
      <alignment horizontal="center" vertical="center" wrapText="1"/>
    </xf>
    <xf numFmtId="171" fontId="17" fillId="7" borderId="0" xfId="0" applyNumberFormat="1" applyFont="1" applyFill="1" applyBorder="1" applyAlignment="1">
      <alignment horizontal="center" vertical="center" wrapText="1"/>
    </xf>
    <xf numFmtId="171" fontId="16" fillId="0" borderId="0" xfId="0" applyNumberFormat="1" applyFont="1" applyBorder="1" applyAlignment="1">
      <alignment horizontal="center"/>
    </xf>
    <xf numFmtId="0" fontId="35" fillId="0" borderId="2" xfId="0" applyFont="1" applyFill="1" applyBorder="1" applyAlignment="1" applyProtection="1">
      <alignment horizontal="center" vertical="center" wrapText="1"/>
    </xf>
    <xf numFmtId="0" fontId="35" fillId="0" borderId="2" xfId="0" applyFont="1" applyFill="1" applyBorder="1" applyAlignment="1" applyProtection="1">
      <alignment horizontal="left"/>
    </xf>
    <xf numFmtId="0" fontId="32" fillId="0" borderId="0" xfId="0" applyFont="1" applyAlignment="1">
      <alignment vertical="top" wrapText="1"/>
    </xf>
    <xf numFmtId="0" fontId="16" fillId="17" borderId="35" xfId="0" applyFont="1" applyFill="1" applyBorder="1" applyAlignment="1">
      <alignment horizontal="center"/>
    </xf>
    <xf numFmtId="0" fontId="16" fillId="17" borderId="35" xfId="0" applyFont="1" applyFill="1" applyBorder="1"/>
    <xf numFmtId="0" fontId="16" fillId="17" borderId="35" xfId="0" applyFont="1" applyFill="1" applyBorder="1" applyAlignment="1">
      <alignment horizontal="center" vertical="center"/>
    </xf>
    <xf numFmtId="164" fontId="16" fillId="17" borderId="35" xfId="0" applyNumberFormat="1" applyFont="1" applyFill="1" applyBorder="1"/>
    <xf numFmtId="166" fontId="16" fillId="17" borderId="35" xfId="0" applyNumberFormat="1" applyFont="1" applyFill="1" applyBorder="1" applyAlignment="1">
      <alignment horizontal="right"/>
    </xf>
    <xf numFmtId="166" fontId="16" fillId="17" borderId="35" xfId="0" applyNumberFormat="1" applyFont="1" applyFill="1" applyBorder="1" applyAlignment="1">
      <alignment horizontal="center" vertical="center"/>
    </xf>
    <xf numFmtId="166" fontId="16" fillId="0" borderId="35" xfId="0" applyNumberFormat="1" applyFont="1" applyBorder="1" applyAlignment="1">
      <alignment horizontal="right"/>
    </xf>
    <xf numFmtId="166" fontId="16" fillId="0" borderId="35" xfId="0" applyNumberFormat="1" applyFont="1" applyBorder="1" applyAlignment="1">
      <alignment horizontal="center" vertical="center"/>
    </xf>
    <xf numFmtId="0" fontId="34" fillId="15" borderId="2" xfId="0" applyFont="1" applyFill="1" applyBorder="1" applyAlignment="1" applyProtection="1">
      <alignment horizontal="center" vertical="center" wrapText="1"/>
    </xf>
    <xf numFmtId="166" fontId="16" fillId="17" borderId="35" xfId="0" applyNumberFormat="1" applyFont="1" applyFill="1" applyBorder="1"/>
    <xf numFmtId="3" fontId="16" fillId="17" borderId="35" xfId="0" applyNumberFormat="1" applyFont="1" applyFill="1" applyBorder="1" applyAlignment="1">
      <alignment horizontal="center" vertical="center"/>
    </xf>
    <xf numFmtId="0" fontId="16" fillId="0" borderId="35" xfId="0" applyFont="1" applyBorder="1" applyAlignment="1">
      <alignment horizontal="left"/>
    </xf>
    <xf numFmtId="0" fontId="16" fillId="17" borderId="34" xfId="0" applyFont="1" applyFill="1" applyBorder="1"/>
    <xf numFmtId="0" fontId="16" fillId="17" borderId="35" xfId="0" applyFont="1" applyFill="1" applyBorder="1" applyAlignment="1">
      <alignment horizontal="right" vertical="center"/>
    </xf>
    <xf numFmtId="0" fontId="16" fillId="0" borderId="34" xfId="0" applyFont="1" applyBorder="1"/>
    <xf numFmtId="0" fontId="0" fillId="17" borderId="35" xfId="0" applyFont="1" applyFill="1" applyBorder="1"/>
    <xf numFmtId="9" fontId="0" fillId="17" borderId="35" xfId="7" applyNumberFormat="1" applyFont="1" applyFill="1" applyBorder="1"/>
    <xf numFmtId="0" fontId="0" fillId="0" borderId="35" xfId="0" applyFont="1" applyBorder="1"/>
    <xf numFmtId="9" fontId="0" fillId="0" borderId="35" xfId="7" applyNumberFormat="1" applyFont="1" applyBorder="1"/>
    <xf numFmtId="0" fontId="16" fillId="17" borderId="35" xfId="0" applyNumberFormat="1" applyFont="1" applyFill="1" applyBorder="1"/>
    <xf numFmtId="0" fontId="16" fillId="0" borderId="35" xfId="0" applyNumberFormat="1" applyFont="1" applyBorder="1"/>
    <xf numFmtId="0" fontId="16" fillId="17" borderId="35" xfId="0" applyNumberFormat="1" applyFont="1" applyFill="1" applyBorder="1" applyAlignment="1">
      <alignment horizontal="center" vertical="center"/>
    </xf>
    <xf numFmtId="0" fontId="16" fillId="0" borderId="35" xfId="0" applyNumberFormat="1" applyFont="1" applyBorder="1" applyAlignment="1">
      <alignment horizontal="center" vertical="center"/>
    </xf>
    <xf numFmtId="0" fontId="17" fillId="7" borderId="0" xfId="0" applyFont="1" applyFill="1" applyBorder="1" applyAlignment="1">
      <alignment horizontal="center" vertical="center" wrapText="1"/>
    </xf>
    <xf numFmtId="164" fontId="17" fillId="7" borderId="0" xfId="0" applyNumberFormat="1" applyFont="1" applyFill="1" applyBorder="1" applyAlignment="1">
      <alignment horizontal="center" vertical="center" wrapText="1"/>
    </xf>
    <xf numFmtId="0" fontId="17" fillId="7" borderId="50" xfId="0" applyFont="1" applyFill="1" applyBorder="1" applyAlignment="1">
      <alignment horizontal="center" vertical="center" wrapText="1"/>
    </xf>
    <xf numFmtId="0" fontId="17" fillId="7" borderId="0" xfId="0" applyFont="1" applyFill="1" applyBorder="1" applyAlignment="1">
      <alignment horizontal="center" vertical="center"/>
    </xf>
    <xf numFmtId="0" fontId="17" fillId="7" borderId="0" xfId="0" applyFont="1" applyFill="1" applyBorder="1"/>
    <xf numFmtId="164" fontId="17" fillId="7" borderId="0" xfId="0" applyNumberFormat="1" applyFont="1" applyFill="1" applyBorder="1"/>
    <xf numFmtId="166" fontId="16" fillId="0" borderId="34" xfId="0" applyNumberFormat="1" applyFont="1" applyBorder="1" applyAlignment="1">
      <alignment horizontal="center" vertical="center"/>
    </xf>
    <xf numFmtId="3" fontId="16" fillId="17" borderId="34" xfId="0" applyNumberFormat="1" applyFont="1" applyFill="1" applyBorder="1" applyAlignment="1">
      <alignment horizontal="center" vertical="center"/>
    </xf>
    <xf numFmtId="3" fontId="16" fillId="0" borderId="34" xfId="0" applyNumberFormat="1" applyFont="1" applyBorder="1" applyAlignment="1">
      <alignment horizontal="center" vertical="center"/>
    </xf>
    <xf numFmtId="166" fontId="16" fillId="17" borderId="34" xfId="0" applyNumberFormat="1" applyFont="1" applyFill="1" applyBorder="1" applyAlignment="1">
      <alignment horizontal="center" vertical="center"/>
    </xf>
    <xf numFmtId="0" fontId="17" fillId="7" borderId="50" xfId="0" applyFont="1" applyFill="1" applyBorder="1"/>
    <xf numFmtId="0" fontId="16" fillId="0" borderId="35" xfId="0" applyFont="1" applyBorder="1" applyAlignment="1">
      <alignment horizontal="center"/>
    </xf>
    <xf numFmtId="0" fontId="1" fillId="7" borderId="0" xfId="0" applyFont="1" applyFill="1" applyBorder="1" applyAlignment="1">
      <alignment horizontal="center" vertical="center" wrapText="1"/>
    </xf>
    <xf numFmtId="0" fontId="35" fillId="4" borderId="2" xfId="0" applyFont="1" applyFill="1" applyBorder="1" applyAlignment="1" applyProtection="1">
      <alignment horizontal="right" vertical="center" wrapText="1"/>
    </xf>
    <xf numFmtId="0" fontId="35" fillId="0" borderId="42" xfId="0" applyFont="1" applyFill="1" applyBorder="1" applyAlignment="1" applyProtection="1">
      <alignment horizontal="right" vertical="center" indent="2"/>
    </xf>
    <xf numFmtId="0" fontId="18" fillId="4" borderId="53" xfId="0" applyFont="1" applyFill="1" applyBorder="1" applyAlignment="1" applyProtection="1">
      <alignment horizontal="center" vertical="center" wrapText="1"/>
    </xf>
    <xf numFmtId="3" fontId="26" fillId="0" borderId="54" xfId="0" applyNumberFormat="1" applyFont="1" applyFill="1" applyBorder="1" applyAlignment="1" applyProtection="1">
      <alignment horizontal="center" vertical="center"/>
    </xf>
    <xf numFmtId="3" fontId="26" fillId="0" borderId="55" xfId="0" applyNumberFormat="1" applyFont="1" applyFill="1" applyBorder="1" applyAlignment="1" applyProtection="1">
      <alignment horizontal="center" vertical="center"/>
    </xf>
    <xf numFmtId="0" fontId="16" fillId="0" borderId="0" xfId="0" applyFont="1" applyAlignment="1" applyProtection="1">
      <alignment horizontal="right" indent="1"/>
    </xf>
    <xf numFmtId="164" fontId="45" fillId="3" borderId="0" xfId="2" applyNumberFormat="1" applyFont="1" applyBorder="1" applyAlignment="1" applyProtection="1">
      <alignment horizontal="right" vertical="center" indent="1"/>
    </xf>
    <xf numFmtId="0" fontId="35" fillId="0" borderId="2" xfId="0" applyFont="1" applyFill="1" applyBorder="1" applyAlignment="1" applyProtection="1">
      <alignment horizontal="right" vertical="center" indent="2"/>
    </xf>
    <xf numFmtId="3" fontId="33" fillId="13" borderId="2" xfId="8" applyNumberFormat="1" applyFont="1" applyFill="1" applyBorder="1" applyAlignment="1" applyProtection="1">
      <alignment horizontal="center" vertical="center"/>
      <protection locked="0"/>
    </xf>
    <xf numFmtId="164" fontId="33" fillId="13" borderId="2" xfId="1" applyNumberFormat="1" applyFont="1" applyFill="1" applyBorder="1" applyAlignment="1" applyProtection="1">
      <alignment horizontal="center" vertical="center"/>
      <protection locked="0"/>
    </xf>
    <xf numFmtId="0" fontId="33" fillId="13" borderId="2" xfId="1" applyNumberFormat="1" applyFont="1" applyFill="1" applyBorder="1" applyAlignment="1" applyProtection="1">
      <alignment horizontal="center" vertical="center"/>
      <protection locked="0"/>
    </xf>
    <xf numFmtId="44" fontId="29" fillId="3" borderId="60" xfId="3" applyFont="1" applyFill="1" applyBorder="1" applyAlignment="1" applyProtection="1">
      <alignment horizontal="right"/>
    </xf>
    <xf numFmtId="44" fontId="29" fillId="3" borderId="60" xfId="2" applyNumberFormat="1" applyFont="1" applyBorder="1" applyAlignment="1" applyProtection="1">
      <alignment horizontal="right"/>
    </xf>
    <xf numFmtId="0" fontId="35" fillId="0" borderId="61" xfId="0" applyFont="1" applyFill="1" applyBorder="1" applyAlignment="1" applyProtection="1">
      <alignment vertical="center" wrapText="1"/>
    </xf>
    <xf numFmtId="0" fontId="18" fillId="4" borderId="62" xfId="4" applyFont="1" applyFill="1" applyBorder="1" applyAlignment="1" applyProtection="1">
      <alignment horizontal="left" indent="1"/>
    </xf>
    <xf numFmtId="44" fontId="28" fillId="3" borderId="63" xfId="2" applyNumberFormat="1" applyFont="1" applyBorder="1" applyAlignment="1" applyProtection="1">
      <alignment horizontal="right"/>
    </xf>
    <xf numFmtId="0" fontId="18" fillId="4" borderId="38" xfId="4" applyFont="1" applyFill="1" applyBorder="1" applyAlignment="1" applyProtection="1">
      <alignment horizontal="right" indent="1"/>
    </xf>
    <xf numFmtId="0" fontId="0" fillId="0" borderId="0" xfId="0" applyProtection="1">
      <protection locked="0"/>
    </xf>
    <xf numFmtId="0" fontId="16" fillId="0" borderId="38" xfId="0" applyFont="1" applyBorder="1" applyProtection="1">
      <protection locked="0"/>
    </xf>
    <xf numFmtId="44" fontId="28" fillId="13" borderId="0" xfId="2" applyNumberFormat="1" applyFont="1" applyFill="1" applyBorder="1" applyProtection="1">
      <protection locked="0"/>
    </xf>
    <xf numFmtId="3" fontId="33" fillId="13" borderId="58" xfId="1" applyNumberFormat="1" applyFont="1" applyFill="1" applyBorder="1" applyAlignment="1" applyProtection="1">
      <alignment horizontal="center" vertical="center"/>
      <protection locked="0"/>
    </xf>
    <xf numFmtId="2" fontId="33" fillId="12" borderId="2" xfId="1" applyNumberFormat="1" applyFont="1" applyFill="1" applyBorder="1" applyAlignment="1" applyProtection="1">
      <alignment horizontal="center" vertical="center"/>
    </xf>
    <xf numFmtId="164" fontId="33" fillId="12" borderId="42" xfId="1" applyNumberFormat="1" applyFont="1" applyFill="1" applyBorder="1" applyAlignment="1" applyProtection="1">
      <alignment horizontal="center" vertical="center"/>
    </xf>
    <xf numFmtId="0" fontId="16" fillId="0" borderId="0" xfId="0" applyFont="1" applyBorder="1" applyProtection="1">
      <protection locked="0"/>
    </xf>
    <xf numFmtId="0" fontId="16" fillId="0" borderId="38"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51" fillId="0" borderId="47" xfId="0" applyFont="1" applyFill="1" applyBorder="1" applyAlignment="1" applyProtection="1">
      <alignment horizontal="left" vertical="top" wrapText="1" indent="2"/>
      <protection locked="0"/>
    </xf>
    <xf numFmtId="0" fontId="41" fillId="12" borderId="46" xfId="0" applyFont="1" applyFill="1" applyBorder="1" applyAlignment="1" applyProtection="1">
      <alignment vertical="center"/>
      <protection locked="0"/>
    </xf>
    <xf numFmtId="0" fontId="41" fillId="0" borderId="0" xfId="0" applyFont="1" applyFill="1" applyBorder="1" applyAlignment="1" applyProtection="1">
      <alignment vertical="center"/>
      <protection locked="0"/>
    </xf>
    <xf numFmtId="0" fontId="24" fillId="0" borderId="46" xfId="0" applyFont="1" applyFill="1" applyBorder="1" applyAlignment="1" applyProtection="1">
      <alignment vertical="center"/>
      <protection locked="0"/>
    </xf>
    <xf numFmtId="0" fontId="24" fillId="0" borderId="0" xfId="0" applyFont="1" applyBorder="1" applyAlignment="1" applyProtection="1">
      <protection locked="0"/>
    </xf>
    <xf numFmtId="0" fontId="24" fillId="0" borderId="0" xfId="0" applyFont="1" applyBorder="1" applyAlignment="1" applyProtection="1">
      <alignment horizontal="right" indent="1"/>
      <protection locked="0"/>
    </xf>
    <xf numFmtId="0" fontId="27" fillId="0" borderId="0" xfId="0" applyFont="1" applyBorder="1" applyProtection="1">
      <protection locked="0"/>
    </xf>
    <xf numFmtId="0" fontId="16" fillId="0" borderId="0" xfId="0" applyFont="1" applyBorder="1" applyAlignment="1" applyProtection="1">
      <alignment horizontal="right" indent="1"/>
      <protection locked="0"/>
    </xf>
    <xf numFmtId="0" fontId="16" fillId="0" borderId="0" xfId="0" applyFont="1" applyProtection="1">
      <protection locked="0"/>
    </xf>
    <xf numFmtId="1" fontId="16" fillId="0" borderId="0" xfId="0" applyNumberFormat="1" applyFont="1" applyAlignment="1" applyProtection="1">
      <alignment horizontal="center"/>
      <protection locked="0"/>
    </xf>
    <xf numFmtId="164" fontId="25" fillId="18" borderId="0" xfId="0" applyNumberFormat="1" applyFont="1" applyFill="1" applyBorder="1" applyAlignment="1" applyProtection="1"/>
    <xf numFmtId="164" fontId="27" fillId="18" borderId="0" xfId="0" applyNumberFormat="1" applyFont="1" applyFill="1" applyBorder="1" applyAlignment="1" applyProtection="1">
      <alignment horizontal="right" vertical="center" indent="1"/>
    </xf>
    <xf numFmtId="0" fontId="16" fillId="12" borderId="0" xfId="0" applyFont="1" applyFill="1" applyBorder="1" applyAlignment="1" applyProtection="1"/>
    <xf numFmtId="0" fontId="41" fillId="0" borderId="0" xfId="0" applyFont="1" applyFill="1" applyBorder="1" applyAlignment="1" applyProtection="1">
      <alignment horizontal="left" vertical="top" indent="1"/>
    </xf>
    <xf numFmtId="0" fontId="24" fillId="0" borderId="0" xfId="0" applyFont="1" applyBorder="1" applyAlignment="1" applyProtection="1">
      <alignment horizontal="left" indent="1"/>
    </xf>
    <xf numFmtId="44" fontId="16" fillId="12" borderId="0" xfId="3" applyFont="1" applyFill="1" applyBorder="1" applyAlignment="1" applyProtection="1"/>
    <xf numFmtId="0" fontId="16" fillId="12" borderId="0" xfId="0" applyFont="1" applyFill="1" applyBorder="1" applyProtection="1"/>
    <xf numFmtId="0" fontId="18" fillId="0" borderId="0" xfId="0" applyFont="1" applyFill="1" applyBorder="1" applyAlignment="1" applyProtection="1">
      <alignment horizontal="center"/>
    </xf>
    <xf numFmtId="0" fontId="32" fillId="0" borderId="0" xfId="0" applyFont="1" applyAlignment="1" applyProtection="1"/>
    <xf numFmtId="14" fontId="56" fillId="16" borderId="0" xfId="0" applyNumberFormat="1" applyFont="1" applyFill="1" applyBorder="1" applyAlignment="1" applyProtection="1">
      <alignment horizontal="left" vertical="top" wrapText="1"/>
    </xf>
    <xf numFmtId="0" fontId="57" fillId="16" borderId="0" xfId="0" applyFont="1" applyFill="1" applyBorder="1" applyAlignment="1" applyProtection="1">
      <alignment horizontal="right" vertical="top" wrapText="1"/>
    </xf>
    <xf numFmtId="0" fontId="24" fillId="9" borderId="46" xfId="0" applyFont="1" applyFill="1" applyBorder="1" applyAlignment="1" applyProtection="1">
      <alignment horizontal="center" vertical="center"/>
    </xf>
    <xf numFmtId="0" fontId="24" fillId="9" borderId="0" xfId="0" applyFont="1" applyFill="1" applyBorder="1" applyAlignment="1" applyProtection="1">
      <alignment horizontal="center" vertical="center"/>
    </xf>
    <xf numFmtId="0" fontId="35" fillId="0" borderId="2" xfId="0" applyFont="1" applyFill="1" applyBorder="1" applyAlignment="1" applyProtection="1">
      <alignment horizontal="right" vertical="center" indent="2"/>
    </xf>
    <xf numFmtId="0" fontId="33" fillId="13" borderId="2" xfId="0" applyFont="1" applyFill="1" applyBorder="1" applyAlignment="1" applyProtection="1">
      <alignment horizontal="center" vertical="center"/>
      <protection locked="0"/>
    </xf>
    <xf numFmtId="0" fontId="24" fillId="9" borderId="2" xfId="0" applyFont="1" applyFill="1" applyBorder="1" applyAlignment="1" applyProtection="1">
      <alignment horizontal="center" vertical="center"/>
    </xf>
    <xf numFmtId="0" fontId="31" fillId="12" borderId="0" xfId="0" applyFont="1" applyFill="1" applyBorder="1" applyAlignment="1" applyProtection="1">
      <alignment horizontal="center" vertical="center" wrapText="1"/>
    </xf>
    <xf numFmtId="1" fontId="49" fillId="4" borderId="36" xfId="2" applyNumberFormat="1" applyFont="1" applyFill="1" applyBorder="1" applyAlignment="1" applyProtection="1">
      <alignment horizontal="left" vertical="center" wrapText="1" indent="2"/>
    </xf>
    <xf numFmtId="1" fontId="55" fillId="13" borderId="36" xfId="6" applyNumberFormat="1" applyFont="1" applyFill="1" applyBorder="1" applyAlignment="1" applyProtection="1">
      <alignment horizontal="left" vertical="center" wrapText="1" indent="2"/>
      <protection locked="0"/>
    </xf>
    <xf numFmtId="0" fontId="27" fillId="15" borderId="0" xfId="0" applyFont="1" applyFill="1" applyBorder="1" applyAlignment="1" applyProtection="1">
      <alignment horizontal="left" vertical="center" wrapText="1" indent="2"/>
    </xf>
    <xf numFmtId="0" fontId="26" fillId="13" borderId="0" xfId="0" applyFont="1" applyFill="1" applyBorder="1" applyAlignment="1" applyProtection="1">
      <alignment horizontal="left" vertical="center" wrapText="1" indent="2"/>
    </xf>
    <xf numFmtId="1" fontId="26" fillId="18" borderId="0" xfId="2" applyNumberFormat="1" applyFont="1" applyFill="1" applyBorder="1" applyAlignment="1" applyProtection="1">
      <alignment horizontal="left" vertical="center" wrapText="1" indent="2"/>
    </xf>
    <xf numFmtId="0" fontId="33" fillId="13" borderId="2" xfId="1" applyFont="1" applyFill="1" applyBorder="1" applyAlignment="1" applyProtection="1">
      <alignment horizontal="center" vertical="center"/>
      <protection locked="0"/>
    </xf>
    <xf numFmtId="0" fontId="42" fillId="16" borderId="38" xfId="0" applyFont="1" applyFill="1" applyBorder="1" applyAlignment="1" applyProtection="1">
      <alignment horizontal="center" vertical="top" wrapText="1"/>
    </xf>
    <xf numFmtId="0" fontId="42" fillId="16" borderId="0" xfId="0" applyFont="1" applyFill="1" applyBorder="1" applyAlignment="1" applyProtection="1">
      <alignment horizontal="center" vertical="top" wrapText="1"/>
    </xf>
    <xf numFmtId="1" fontId="23" fillId="0" borderId="0" xfId="2" applyNumberFormat="1" applyFont="1" applyFill="1" applyBorder="1" applyAlignment="1" applyProtection="1">
      <alignment horizontal="right"/>
    </xf>
    <xf numFmtId="0" fontId="5" fillId="13" borderId="0" xfId="0" applyFont="1" applyFill="1" applyAlignment="1" applyProtection="1">
      <alignment horizontal="right" vertical="center"/>
    </xf>
    <xf numFmtId="0" fontId="24" fillId="9" borderId="36" xfId="0" applyFont="1" applyFill="1" applyBorder="1" applyAlignment="1" applyProtection="1">
      <alignment horizontal="center" vertical="center"/>
    </xf>
    <xf numFmtId="0" fontId="30" fillId="9" borderId="2" xfId="0" applyFont="1" applyFill="1" applyBorder="1" applyAlignment="1" applyProtection="1">
      <alignment horizontal="center" vertical="center"/>
    </xf>
    <xf numFmtId="0" fontId="24" fillId="9" borderId="42" xfId="0" applyFont="1" applyFill="1" applyBorder="1" applyAlignment="1" applyProtection="1">
      <alignment horizontal="center" vertical="center"/>
    </xf>
    <xf numFmtId="0" fontId="24" fillId="9" borderId="37" xfId="0" applyFont="1" applyFill="1" applyBorder="1" applyAlignment="1" applyProtection="1">
      <alignment horizontal="center" vertical="center"/>
    </xf>
    <xf numFmtId="0" fontId="24" fillId="9" borderId="49" xfId="0" applyFont="1" applyFill="1" applyBorder="1" applyAlignment="1" applyProtection="1">
      <alignment horizontal="center" vertical="center"/>
    </xf>
    <xf numFmtId="0" fontId="35" fillId="0" borderId="2" xfId="0" applyFont="1" applyFill="1" applyBorder="1" applyAlignment="1" applyProtection="1">
      <alignment horizontal="center" vertical="center"/>
    </xf>
    <xf numFmtId="1" fontId="23" fillId="0" borderId="0" xfId="2" applyNumberFormat="1" applyFont="1" applyFill="1" applyBorder="1" applyAlignment="1" applyProtection="1">
      <alignment horizontal="right" indent="1"/>
    </xf>
    <xf numFmtId="0" fontId="41" fillId="0" borderId="0" xfId="0" applyFont="1" applyFill="1" applyBorder="1" applyAlignment="1" applyProtection="1">
      <alignment horizontal="center" vertical="top" wrapText="1"/>
    </xf>
    <xf numFmtId="0" fontId="35" fillId="0" borderId="41" xfId="0" applyFont="1" applyFill="1" applyBorder="1" applyAlignment="1" applyProtection="1">
      <alignment horizontal="right" vertical="center" indent="2"/>
    </xf>
    <xf numFmtId="164" fontId="53" fillId="0" borderId="2" xfId="1" applyNumberFormat="1" applyFont="1" applyFill="1" applyBorder="1" applyAlignment="1" applyProtection="1">
      <alignment horizontal="center" vertical="center" wrapText="1"/>
    </xf>
    <xf numFmtId="164" fontId="53" fillId="0" borderId="48" xfId="1" applyNumberFormat="1" applyFont="1" applyFill="1" applyBorder="1" applyAlignment="1" applyProtection="1">
      <alignment horizontal="center" vertical="center" wrapText="1"/>
    </xf>
    <xf numFmtId="0" fontId="35" fillId="4" borderId="41" xfId="0" applyFont="1" applyFill="1" applyBorder="1" applyAlignment="1" applyProtection="1">
      <alignment horizontal="right" vertical="center" wrapText="1" indent="2"/>
    </xf>
    <xf numFmtId="0" fontId="35" fillId="4" borderId="2" xfId="0" applyFont="1" applyFill="1" applyBorder="1" applyAlignment="1" applyProtection="1">
      <alignment horizontal="right" vertical="center" wrapText="1" indent="2"/>
    </xf>
    <xf numFmtId="0" fontId="7" fillId="0" borderId="39" xfId="0" applyFont="1" applyBorder="1" applyAlignment="1" applyProtection="1">
      <alignment horizontal="left" indent="2"/>
    </xf>
    <xf numFmtId="0" fontId="0" fillId="0" borderId="36" xfId="0" applyBorder="1" applyAlignment="1" applyProtection="1">
      <alignment horizontal="left" indent="2"/>
    </xf>
    <xf numFmtId="0" fontId="0" fillId="0" borderId="57" xfId="0" applyBorder="1" applyAlignment="1" applyProtection="1">
      <alignment horizontal="left" indent="2"/>
    </xf>
    <xf numFmtId="0" fontId="7" fillId="0" borderId="36" xfId="0" applyFont="1" applyBorder="1" applyAlignment="1" applyProtection="1">
      <alignment horizontal="left" indent="2"/>
    </xf>
    <xf numFmtId="0" fontId="7" fillId="0" borderId="57" xfId="0" applyFont="1" applyBorder="1" applyAlignment="1" applyProtection="1">
      <alignment horizontal="left" indent="2"/>
    </xf>
    <xf numFmtId="0" fontId="20" fillId="16" borderId="56" xfId="0" applyFont="1" applyFill="1" applyBorder="1" applyAlignment="1" applyProtection="1">
      <alignment horizontal="center" vertical="center"/>
    </xf>
    <xf numFmtId="0" fontId="20" fillId="16" borderId="51" xfId="0" applyFont="1" applyFill="1" applyBorder="1" applyAlignment="1" applyProtection="1">
      <alignment horizontal="center" vertical="center"/>
    </xf>
    <xf numFmtId="0" fontId="20" fillId="16" borderId="52" xfId="0" applyFont="1" applyFill="1" applyBorder="1" applyAlignment="1" applyProtection="1">
      <alignment horizontal="center" vertical="center"/>
    </xf>
    <xf numFmtId="0" fontId="35" fillId="0" borderId="38" xfId="0" applyFont="1" applyFill="1" applyBorder="1" applyAlignment="1" applyProtection="1">
      <alignment horizontal="right" vertical="center" wrapText="1"/>
    </xf>
    <xf numFmtId="0" fontId="35" fillId="0" borderId="0" xfId="0" applyFont="1" applyFill="1" applyBorder="1" applyAlignment="1" applyProtection="1">
      <alignment horizontal="right" vertical="center" wrapText="1"/>
    </xf>
    <xf numFmtId="0" fontId="34" fillId="13" borderId="60" xfId="0" applyFont="1" applyFill="1" applyBorder="1" applyAlignment="1" applyProtection="1">
      <alignment horizontal="center" vertical="center"/>
      <protection locked="0"/>
    </xf>
    <xf numFmtId="0" fontId="20" fillId="16" borderId="2" xfId="0" applyFont="1" applyFill="1" applyBorder="1" applyAlignment="1" applyProtection="1">
      <alignment horizontal="center" vertical="center"/>
    </xf>
    <xf numFmtId="0" fontId="26" fillId="9" borderId="43" xfId="0" applyFont="1" applyFill="1" applyBorder="1" applyAlignment="1" applyProtection="1">
      <alignment horizontal="center" vertical="top"/>
    </xf>
    <xf numFmtId="0" fontId="26" fillId="9" borderId="2" xfId="0" applyFont="1" applyFill="1" applyBorder="1" applyAlignment="1" applyProtection="1">
      <alignment horizontal="center" vertical="top"/>
    </xf>
    <xf numFmtId="0" fontId="26" fillId="9" borderId="44" xfId="0" applyFont="1" applyFill="1" applyBorder="1" applyAlignment="1" applyProtection="1">
      <alignment horizontal="center" vertical="top"/>
    </xf>
    <xf numFmtId="0" fontId="35" fillId="0" borderId="40" xfId="0" applyFont="1" applyFill="1" applyBorder="1" applyAlignment="1" applyProtection="1">
      <alignment horizontal="right" vertical="center" wrapText="1"/>
    </xf>
    <xf numFmtId="0" fontId="35" fillId="0" borderId="37" xfId="0" applyFont="1" applyFill="1" applyBorder="1" applyAlignment="1" applyProtection="1">
      <alignment horizontal="right" vertical="center" wrapText="1"/>
    </xf>
    <xf numFmtId="0" fontId="34" fillId="13" borderId="59" xfId="0" applyFont="1" applyFill="1" applyBorder="1" applyAlignment="1" applyProtection="1">
      <alignment horizontal="center" vertical="center"/>
      <protection locked="0"/>
    </xf>
    <xf numFmtId="0" fontId="24" fillId="12" borderId="38" xfId="0" applyFont="1" applyFill="1" applyBorder="1" applyAlignment="1" applyProtection="1">
      <alignment horizontal="center" vertical="center"/>
    </xf>
    <xf numFmtId="0" fontId="24" fillId="12" borderId="0" xfId="0" applyFont="1" applyFill="1" applyBorder="1" applyAlignment="1" applyProtection="1">
      <alignment horizontal="center" vertical="center"/>
    </xf>
    <xf numFmtId="0" fontId="24" fillId="12" borderId="60" xfId="0" applyFont="1" applyFill="1" applyBorder="1" applyAlignment="1" applyProtection="1">
      <alignment horizontal="center" vertical="center"/>
    </xf>
    <xf numFmtId="0" fontId="13" fillId="12" borderId="0" xfId="5" applyFont="1" applyFill="1" applyBorder="1" applyAlignment="1" applyProtection="1">
      <alignment horizontal="left" vertical="center" wrapText="1" indent="3"/>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8" fillId="10" borderId="11" xfId="0" applyFont="1" applyFill="1" applyBorder="1" applyAlignment="1">
      <alignment horizontal="center" wrapText="1"/>
    </xf>
    <xf numFmtId="0" fontId="8" fillId="10" borderId="12" xfId="0" applyFont="1" applyFill="1" applyBorder="1" applyAlignment="1">
      <alignment horizont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10" fillId="0" borderId="4" xfId="0" applyFont="1" applyFill="1" applyBorder="1" applyAlignment="1">
      <alignment horizontal="center"/>
    </xf>
    <xf numFmtId="0" fontId="10" fillId="0" borderId="6" xfId="0" applyFont="1" applyFill="1" applyBorder="1" applyAlignment="1">
      <alignment horizontal="center"/>
    </xf>
    <xf numFmtId="0" fontId="8" fillId="9" borderId="23"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8" fillId="9" borderId="25" xfId="0" applyFont="1" applyFill="1" applyBorder="1" applyAlignment="1">
      <alignment horizontal="center" vertical="center" wrapText="1"/>
    </xf>
    <xf numFmtId="0" fontId="11" fillId="3" borderId="20" xfId="2" applyFont="1" applyBorder="1" applyAlignment="1">
      <alignment horizontal="left" vertical="center" wrapText="1"/>
    </xf>
    <xf numFmtId="0" fontId="11" fillId="3" borderId="21" xfId="2" applyFont="1" applyBorder="1" applyAlignment="1">
      <alignment horizontal="left" vertical="center" wrapText="1"/>
    </xf>
    <xf numFmtId="0" fontId="10" fillId="0" borderId="26" xfId="0" applyFont="1" applyFill="1" applyBorder="1" applyAlignment="1">
      <alignment horizontal="center" wrapText="1"/>
    </xf>
    <xf numFmtId="0" fontId="10" fillId="0" borderId="12" xfId="0" applyFont="1" applyFill="1" applyBorder="1" applyAlignment="1">
      <alignment horizontal="center" wrapText="1"/>
    </xf>
    <xf numFmtId="0" fontId="8" fillId="0" borderId="3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4" fontId="8" fillId="10" borderId="22" xfId="0" applyNumberFormat="1" applyFont="1" applyFill="1" applyBorder="1" applyAlignment="1">
      <alignment horizontal="center" vertical="center" wrapText="1"/>
    </xf>
    <xf numFmtId="0" fontId="8" fillId="0" borderId="23"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32" fillId="0" borderId="0" xfId="0" applyFont="1" applyAlignment="1">
      <alignment horizontal="left" vertical="top" wrapText="1"/>
    </xf>
    <xf numFmtId="0" fontId="15" fillId="6" borderId="0" xfId="0" applyFont="1" applyFill="1" applyAlignment="1">
      <alignment horizontal="center" vertical="center"/>
    </xf>
    <xf numFmtId="0" fontId="16" fillId="6" borderId="0" xfId="0" applyFont="1" applyFill="1" applyAlignment="1">
      <alignment horizontal="center" vertical="center"/>
    </xf>
  </cellXfs>
  <cellStyles count="9">
    <cellStyle name="20% - Accent1" xfId="4" builtinId="30"/>
    <cellStyle name="Check Cell" xfId="1" builtinId="23"/>
    <cellStyle name="Comma" xfId="8" builtinId="3"/>
    <cellStyle name="Currency" xfId="3" builtinId="4"/>
    <cellStyle name="Good" xfId="2" builtinId="26"/>
    <cellStyle name="Hyperlink" xfId="6" builtinId="8"/>
    <cellStyle name="Normal" xfId="0" builtinId="0"/>
    <cellStyle name="Normal 2" xfId="5"/>
    <cellStyle name="Percent" xfId="7" builtinId="5"/>
  </cellStyles>
  <dxfs count="63">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numFmt numFmtId="13" formatCode="0%"/>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0" formatCode="General"/>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2"/>
        <color theme="0"/>
        <name val="Arial"/>
        <scheme val="none"/>
      </font>
      <fill>
        <patternFill patternType="solid">
          <fgColor theme="4"/>
          <bgColor theme="4"/>
        </patternFill>
      </fill>
      <alignment horizontal="center" vertical="center" textRotation="0" wrapText="1" indent="0" justifyLastLine="0" shrinkToFit="0" readingOrder="0"/>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right"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164" formatCode="&quot;$&quot;#,##0.00"/>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2"/>
        <color theme="0"/>
        <name val="Arial"/>
        <scheme val="none"/>
      </font>
      <fill>
        <patternFill patternType="solid">
          <fgColor theme="4"/>
          <bgColor theme="4"/>
        </patternFill>
      </fill>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2"/>
        <color theme="0"/>
        <name val="Arial"/>
        <scheme val="none"/>
      </font>
      <fill>
        <patternFill patternType="solid">
          <fgColor theme="4"/>
          <bgColor theme="4"/>
        </patternFill>
      </fill>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2"/>
        <color theme="0"/>
        <name val="Arial"/>
        <scheme val="none"/>
      </font>
      <fill>
        <patternFill patternType="solid">
          <fgColor theme="4"/>
          <bgColor theme="4"/>
        </patternFill>
      </fill>
    </dxf>
    <dxf>
      <font>
        <b val="0"/>
        <i val="0"/>
        <strike val="0"/>
        <condense val="0"/>
        <extend val="0"/>
        <outline val="0"/>
        <shadow val="0"/>
        <u val="none"/>
        <vertAlign val="baseline"/>
        <sz val="12"/>
        <color theme="1"/>
        <name val="Arial"/>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3" formatCode="#,##0"/>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166" formatCode="0,0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166" formatCode="0,000"/>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164" formatCode="&quot;$&quot;#,##0.00"/>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2"/>
        <color theme="0"/>
        <name val="Arial"/>
        <scheme val="none"/>
      </font>
      <fill>
        <patternFill patternType="solid">
          <fgColor theme="4"/>
          <bgColor theme="4"/>
        </patternFill>
      </fill>
    </dxf>
    <dxf>
      <font>
        <b val="0"/>
        <i val="0"/>
        <strike val="0"/>
        <condense val="0"/>
        <extend val="0"/>
        <outline val="0"/>
        <shadow val="0"/>
        <u val="none"/>
        <vertAlign val="baseline"/>
        <sz val="12"/>
        <color theme="1"/>
        <name val="Arial"/>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166" formatCode="0,000"/>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166" formatCode="0,0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166" formatCode="0,000"/>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164" formatCode="&quot;$&quot;#,##0.00"/>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2"/>
        <color theme="0"/>
        <name val="Arial"/>
        <scheme val="none"/>
      </font>
      <fill>
        <patternFill patternType="solid">
          <fgColor theme="4"/>
          <bgColor theme="4"/>
        </patternFill>
      </fill>
      <alignment horizontal="center" vertical="center" textRotation="0" wrapText="1" indent="0" justifyLastLine="0" shrinkToFit="0" readingOrder="0"/>
    </dxf>
    <dxf>
      <font>
        <color rgb="FFFF0000"/>
      </font>
    </dxf>
  </dxfs>
  <tableStyles count="0" defaultTableStyle="TableStyleMedium2" defaultPivotStyle="PivotStyleLight16"/>
  <colors>
    <mruColors>
      <color rgb="FFFFFF99"/>
      <color rgb="FFC6EFCE"/>
      <color rgb="FFFFC78F"/>
      <color rgb="FFE7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487148</xdr:colOff>
      <xdr:row>2</xdr:row>
      <xdr:rowOff>630746</xdr:rowOff>
    </xdr:from>
    <xdr:to>
      <xdr:col>1</xdr:col>
      <xdr:colOff>1252869</xdr:colOff>
      <xdr:row>4</xdr:row>
      <xdr:rowOff>572129</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7261"/>
        <a:stretch/>
      </xdr:blipFill>
      <xdr:spPr>
        <a:xfrm>
          <a:off x="487148" y="1166527"/>
          <a:ext cx="4170909" cy="1203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68753</xdr:colOff>
      <xdr:row>1</xdr:row>
      <xdr:rowOff>831965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73978" cy="1022465"/>
        </a:xfrm>
        <a:prstGeom prst="rect">
          <a:avLst/>
        </a:prstGeom>
      </xdr:spPr>
    </xdr:pic>
    <xdr:clientData/>
  </xdr:twoCellAnchor>
  <xdr:twoCellAnchor editAs="oneCell">
    <xdr:from>
      <xdr:col>6</xdr:col>
      <xdr:colOff>449916</xdr:colOff>
      <xdr:row>2</xdr:row>
      <xdr:rowOff>54348</xdr:rowOff>
    </xdr:from>
    <xdr:to>
      <xdr:col>7</xdr:col>
      <xdr:colOff>91328</xdr:colOff>
      <xdr:row>3</xdr:row>
      <xdr:rowOff>328668</xdr:rowOff>
    </xdr:to>
    <xdr:pic>
      <xdr:nvPicPr>
        <xdr:cNvPr id="3" name="Picture 2"/>
        <xdr:cNvPicPr>
          <a:picLocks noChangeAspect="1"/>
        </xdr:cNvPicPr>
      </xdr:nvPicPr>
      <xdr:blipFill>
        <a:blip xmlns:r="http://schemas.openxmlformats.org/officeDocument/2006/relationships" r:embed="rId2"/>
        <a:stretch>
          <a:fillRect/>
        </a:stretch>
      </xdr:blipFill>
      <xdr:spPr>
        <a:xfrm>
          <a:off x="6812616" y="1206873"/>
          <a:ext cx="2289362" cy="845820"/>
        </a:xfrm>
        <a:prstGeom prst="rect">
          <a:avLst/>
        </a:prstGeom>
      </xdr:spPr>
    </xdr:pic>
    <xdr:clientData/>
  </xdr:twoCellAnchor>
</xdr:wsDr>
</file>

<file path=xl/tables/table1.xml><?xml version="1.0" encoding="utf-8"?>
<table xmlns="http://schemas.openxmlformats.org/spreadsheetml/2006/main" id="1" name="TOOLING" displayName="TOOLING" ref="A1:M6" totalsRowShown="0" headerRowDxfId="61" tableBorderDxfId="60">
  <autoFilter ref="A1:M6"/>
  <tableColumns count="13">
    <tableColumn id="1" name="Order" dataDxfId="59"/>
    <tableColumn id="2" name="Name and SKU">
      <calculatedColumnFormula>CONCATENATE(C2," ","(",D2,")")</calculatedColumnFormula>
    </tableColumn>
    <tableColumn id="3" name="Tooling" dataDxfId="58"/>
    <tableColumn id="4" name="SKU" dataDxfId="57"/>
    <tableColumn id="5" name="UOM Quantity" dataDxfId="56"/>
    <tableColumn id="6" name="UOM" dataDxfId="55"/>
    <tableColumn id="7" name="MSRP" dataDxfId="54"/>
    <tableColumn id="8" name="SQFT/TOOL" dataDxfId="53"/>
    <tableColumn id="9" name="SQFT/CASE" dataDxfId="52">
      <calculatedColumnFormula>IF(H2="UNK","",E2*H2)</calculatedColumnFormula>
    </tableColumn>
    <tableColumn id="10" name="QTY of UOM Needed Per Use" dataDxfId="51"/>
    <tableColumn id="11" name="UOMs" dataDxfId="50">
      <calculatedColumnFormula>CONCATENATE(F2,"(s)")</calculatedColumnFormula>
    </tableColumn>
    <tableColumn id="12" name="CM30 and CP30 Prod. Hrs." dataDxfId="49"/>
    <tableColumn id="13" name="Auto Scrubber Prod. Hrs." dataDxfId="48">
      <calculatedColumnFormula>IF(L2="N/A","N/A",(L2*0.333))</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CPADS" displayName="CPADS" ref="A8:M17" totalsRowShown="0" headerRowDxfId="47" tableBorderDxfId="46">
  <autoFilter ref="A8:M17"/>
  <tableColumns count="13">
    <tableColumn id="1" name="Order" dataDxfId="45"/>
    <tableColumn id="2" name="Name and SKU" dataDxfId="44">
      <calculatedColumnFormula>CONCATENATE(C9," ","(",D9,")")</calculatedColumnFormula>
    </tableColumn>
    <tableColumn id="3" name="Pads" dataDxfId="43"/>
    <tableColumn id="4" name="SKU" dataDxfId="42"/>
    <tableColumn id="5" name="UOM Quantity" dataDxfId="41"/>
    <tableColumn id="6" name="UOM" dataDxfId="40"/>
    <tableColumn id="7" name="MSRP" dataDxfId="39"/>
    <tableColumn id="8" name="SQFT/PAD" dataDxfId="38"/>
    <tableColumn id="9" name="SQFT/CASE" dataDxfId="37">
      <calculatedColumnFormula>IF(H9="UNK","",E9*H9)</calculatedColumnFormula>
    </tableColumn>
    <tableColumn id="10" name="QTY of UOM Needed Per Use" dataDxfId="36"/>
    <tableColumn id="11" name="UOMs" dataDxfId="35">
      <calculatedColumnFormula>CONCATENATE(F9,"(s)")</calculatedColumnFormula>
    </tableColumn>
    <tableColumn id="12" name="Productivity Hrs." dataDxfId="34"/>
    <tableColumn id="13" name="Productivity Hrs.3" dataDxfId="33">
      <calculatedColumnFormula>IF(L9="N/A","N/A",(L9*0.333))</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3" name="BPADS" displayName="BPADS" ref="A19:M23" totalsRowShown="0" headerRowDxfId="32" tableBorderDxfId="31">
  <autoFilter ref="A19:M23"/>
  <tableColumns count="13">
    <tableColumn id="1" name="Order"/>
    <tableColumn id="2" name="Name and SKU">
      <calculatedColumnFormula>CONCATENATE(C20," ","(",D20,")")</calculatedColumnFormula>
    </tableColumn>
    <tableColumn id="3" name="Pads"/>
    <tableColumn id="4" name="SKU"/>
    <tableColumn id="5" name="UOM Quantity"/>
    <tableColumn id="6" name="UOM"/>
    <tableColumn id="7" name="MSRP"/>
    <tableColumn id="8" name="SQFT/PAD"/>
    <tableColumn id="9" name="SQFT/CASE">
      <calculatedColumnFormula>IF(H20="UNK","",E20*H20)</calculatedColumnFormula>
    </tableColumn>
    <tableColumn id="10" name="QTY of UOM Needed Per Use"/>
    <tableColumn id="11" name="UOMs">
      <calculatedColumnFormula>CONCATENATE(F20,"(s)")</calculatedColumnFormula>
    </tableColumn>
    <tableColumn id="12" name="Productivity Hrs."/>
    <tableColumn id="13" name="Productivity Hrs.3">
      <calculatedColumnFormula>IF(L20="N/A","N/A",(L20*0.333))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4" name="PRODUCTS" displayName="PRODUCTS" ref="A25:M29" totalsRowShown="0" headerRowDxfId="30" tableBorderDxfId="29">
  <autoFilter ref="A25:M29"/>
  <tableColumns count="13">
    <tableColumn id="1" name="Order"/>
    <tableColumn id="2" name="Name and SKU">
      <calculatedColumnFormula>CONCATENATE(C26," ","(",D26,")")</calculatedColumnFormula>
    </tableColumn>
    <tableColumn id="3" name="Product"/>
    <tableColumn id="4" name="SKU"/>
    <tableColumn id="5" name="UOM Quantity"/>
    <tableColumn id="6" name="UOM"/>
    <tableColumn id="7" name="MSRP"/>
    <tableColumn id="8" name="SQFT/GALLON"/>
    <tableColumn id="9" name="SQFT/PAIL">
      <calculatedColumnFormula>H26*5</calculatedColumnFormula>
    </tableColumn>
    <tableColumn id="10" name="QTY of UOM Needed Per Use"/>
    <tableColumn id="11" name="UOMs">
      <calculatedColumnFormula>IF(H26="unk","",CONCATENATE(RIGHT(F26,LEN(F26)-FIND("",F26,5)),"(s)"))</calculatedColumnFormula>
    </tableColumn>
    <tableColumn id="12" name="Productivity Hrs."/>
    <tableColumn id="13" name="Productivity Hrs.3">
      <calculatedColumnFormula>IF(L26="N/A","N/A",(L26*0.333))</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5" name="AUX" displayName="AUX" ref="A31:M40" totalsRowShown="0" headerRowDxfId="28" tableBorderDxfId="27">
  <autoFilter ref="A31:M40"/>
  <tableColumns count="13">
    <tableColumn id="1" name="Order" dataDxfId="26"/>
    <tableColumn id="2" name="Name and SKU">
      <calculatedColumnFormula>CONCATENATE(C32," ","(",D32,")")</calculatedColumnFormula>
    </tableColumn>
    <tableColumn id="3" name="Auxiliary Products" dataDxfId="25"/>
    <tableColumn id="4" name="SKU" dataDxfId="24"/>
    <tableColumn id="5" name="UOM Quantity" dataDxfId="23"/>
    <tableColumn id="6" name="UOM" dataDxfId="22"/>
    <tableColumn id="7" name="MSRP" dataDxfId="21"/>
    <tableColumn id="8" name="SQFT/EACH" dataDxfId="20"/>
    <tableColumn id="9" name="SQFT/PAIL/CASE"/>
    <tableColumn id="10" name="QTY of UOM Needed Per Use" dataDxfId="19"/>
    <tableColumn id="11" name="UOMs" dataDxfId="18">
      <calculatedColumnFormula>CONCATENATE(F32,"(s)")</calculatedColumnFormula>
    </tableColumn>
    <tableColumn id="12" name="Productivity Hrs."/>
    <tableColumn id="13" name="Productivity Hrs.3"/>
  </tableColumns>
  <tableStyleInfo name="TableStyleMedium2" showFirstColumn="0" showLastColumn="0" showRowStripes="1" showColumnStripes="0"/>
</table>
</file>

<file path=xl/tables/table6.xml><?xml version="1.0" encoding="utf-8"?>
<table xmlns="http://schemas.openxmlformats.org/spreadsheetml/2006/main" id="6" name="MPHASES" displayName="MPHASES" ref="A42:B46" totalsRowShown="0" tableBorderDxfId="17">
  <autoFilter ref="A42:B46"/>
  <tableColumns count="2">
    <tableColumn id="1" name="Order"/>
    <tableColumn id="2" name="Maintenance Phases"/>
  </tableColumns>
  <tableStyleInfo name="TableStyleMedium2" showFirstColumn="0" showLastColumn="0" showRowStripes="1" showColumnStripes="0"/>
</table>
</file>

<file path=xl/tables/table7.xml><?xml version="1.0" encoding="utf-8"?>
<table xmlns="http://schemas.openxmlformats.org/spreadsheetml/2006/main" id="7" name="MTYPE" displayName="MTYPE" ref="A48:B51" totalsRowShown="0" tableBorderDxfId="16">
  <autoFilter ref="A48:B51"/>
  <tableColumns count="2">
    <tableColumn id="1" name="Order"/>
    <tableColumn id="2" name="Machine Type"/>
  </tableColumns>
  <tableStyleInfo name="TableStyleMedium2" showFirstColumn="0" showLastColumn="0" showRowStripes="1" showColumnStripes="0"/>
</table>
</file>

<file path=xl/tables/table8.xml><?xml version="1.0" encoding="utf-8"?>
<table xmlns="http://schemas.openxmlformats.org/spreadsheetml/2006/main" id="8" name="UNIREF" displayName="UNIREF" ref="Q1:U44" totalsRowShown="0" headerRowDxfId="15" tableBorderDxfId="14">
  <autoFilter ref="Q1:U44"/>
  <tableColumns count="5">
    <tableColumn id="1" name="UniqueRef">
      <calculatedColumnFormula>DATA!$S2&amp;DATA!$T2&amp;DATA!$R2</calculatedColumnFormula>
    </tableColumn>
    <tableColumn id="2" name="Item#" dataDxfId="13">
      <calculatedColumnFormula>COUNTIFS($S$2:S2,DATA!$S2,$T$2:T2,DATA!$T2)</calculatedColumnFormula>
    </tableColumn>
    <tableColumn id="3" name="Category" dataDxfId="12"/>
    <tableColumn id="4" name="Type" dataDxfId="11"/>
    <tableColumn id="5" name="Name" dataDxfId="10"/>
  </tableColumns>
  <tableStyleInfo name="TableStyleMedium2" showFirstColumn="0" showLastColumn="0" showRowStripes="1" showColumnStripes="0"/>
</table>
</file>

<file path=xl/tables/table9.xml><?xml version="1.0" encoding="utf-8"?>
<table xmlns="http://schemas.openxmlformats.org/spreadsheetml/2006/main" id="9" name="FREIGHT" displayName="FREIGHT" ref="W1:AC50" totalsRowShown="0" headerRowDxfId="9" dataDxfId="8" tableBorderDxfId="7">
  <autoFilter ref="W1:AC50"/>
  <tableColumns count="7">
    <tableColumn id="1" name="Abbreviation" dataDxfId="6"/>
    <tableColumn id="2" name="State Name" dataDxfId="5"/>
    <tableColumn id="3" name="Original" dataDxfId="4"/>
    <tableColumn id="4" name="Change" dataDxfId="3" dataCellStyle="Percent"/>
    <tableColumn id="5" name="2018 Revised" dataDxfId="2"/>
    <tableColumn id="6" name="round trip" dataDxfId="1"/>
    <tableColumn id="7" name="Reg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tco.com/solutions/floor-care/crete-rx"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5.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52"/>
  <sheetViews>
    <sheetView showGridLines="0" tabSelected="1" showWhiteSpace="0" topLeftCell="A14" zoomScale="55" zoomScaleNormal="55" zoomScalePageLayoutView="70" workbookViewId="0">
      <selection activeCell="A19" sqref="A19"/>
    </sheetView>
  </sheetViews>
  <sheetFormatPr defaultColWidth="6.54296875" defaultRowHeight="15.5" x14ac:dyDescent="0.35"/>
  <cols>
    <col min="1" max="1" width="51.1796875" style="247" customWidth="1"/>
    <col min="2" max="6" width="32.7265625" style="247" customWidth="1"/>
    <col min="7" max="7" width="32.7265625" style="248" customWidth="1"/>
    <col min="8" max="9" width="32.7265625" style="247" customWidth="1"/>
    <col min="10" max="10" width="10.26953125" style="236" bestFit="1" customWidth="1"/>
    <col min="11" max="16384" width="6.54296875" style="236"/>
  </cols>
  <sheetData>
    <row r="1" spans="1:10" ht="18" customHeight="1" x14ac:dyDescent="0.35">
      <c r="A1" s="260"/>
      <c r="B1" s="261"/>
      <c r="C1" s="261"/>
      <c r="D1" s="261"/>
      <c r="E1" s="261"/>
      <c r="F1" s="261"/>
      <c r="G1" s="261"/>
      <c r="H1" s="261"/>
      <c r="I1" s="261"/>
    </row>
    <row r="2" spans="1:10" s="166" customFormat="1" ht="25" customHeight="1" x14ac:dyDescent="0.25">
      <c r="A2" s="272" t="s">
        <v>288</v>
      </c>
      <c r="B2" s="273"/>
      <c r="C2" s="273"/>
      <c r="D2" s="273"/>
      <c r="E2" s="273"/>
      <c r="F2" s="273"/>
      <c r="G2" s="273"/>
      <c r="H2" s="259" t="s">
        <v>336</v>
      </c>
      <c r="I2" s="258" t="s">
        <v>338</v>
      </c>
    </row>
    <row r="3" spans="1:10" s="166" customFormat="1" ht="50.15" customHeight="1" x14ac:dyDescent="0.25">
      <c r="A3" s="265"/>
      <c r="B3" s="265"/>
      <c r="C3" s="268" t="s">
        <v>317</v>
      </c>
      <c r="D3" s="268"/>
      <c r="E3" s="268"/>
      <c r="F3" s="268"/>
      <c r="G3" s="268"/>
      <c r="H3" s="268"/>
      <c r="I3" s="268"/>
    </row>
    <row r="4" spans="1:10" s="166" customFormat="1" ht="50.15" customHeight="1" x14ac:dyDescent="0.25">
      <c r="A4" s="265"/>
      <c r="B4" s="265"/>
      <c r="C4" s="269" t="s">
        <v>326</v>
      </c>
      <c r="D4" s="269"/>
      <c r="E4" s="269"/>
      <c r="F4" s="269"/>
      <c r="G4" s="269"/>
      <c r="H4" s="269"/>
      <c r="I4" s="269"/>
    </row>
    <row r="5" spans="1:10" s="166" customFormat="1" ht="50.15" customHeight="1" x14ac:dyDescent="0.25">
      <c r="A5" s="265"/>
      <c r="B5" s="265"/>
      <c r="C5" s="270" t="s">
        <v>308</v>
      </c>
      <c r="D5" s="270"/>
      <c r="E5" s="270"/>
      <c r="F5" s="270"/>
      <c r="G5" s="270"/>
      <c r="H5" s="270"/>
      <c r="I5" s="270"/>
    </row>
    <row r="6" spans="1:10" s="166" customFormat="1" ht="50.15" customHeight="1" x14ac:dyDescent="0.25">
      <c r="A6" s="265"/>
      <c r="B6" s="265"/>
      <c r="C6" s="266" t="s">
        <v>327</v>
      </c>
      <c r="D6" s="266"/>
      <c r="E6" s="266"/>
      <c r="F6" s="266"/>
      <c r="G6" s="267" t="s">
        <v>328</v>
      </c>
      <c r="H6" s="267"/>
      <c r="I6" s="267"/>
    </row>
    <row r="7" spans="1:10" ht="10" customHeight="1" x14ac:dyDescent="0.35">
      <c r="A7" s="276"/>
      <c r="B7" s="276"/>
      <c r="C7" s="276"/>
      <c r="D7" s="276"/>
      <c r="E7" s="276"/>
      <c r="F7" s="276"/>
      <c r="G7" s="276"/>
      <c r="H7" s="276"/>
      <c r="I7" s="276"/>
      <c r="J7" s="231"/>
    </row>
    <row r="8" spans="1:10" s="238" customFormat="1" ht="34.5" customHeight="1" x14ac:dyDescent="0.35">
      <c r="A8" s="152" t="s">
        <v>158</v>
      </c>
      <c r="B8" s="263" t="s">
        <v>69</v>
      </c>
      <c r="C8" s="263"/>
      <c r="D8" s="262" t="s">
        <v>162</v>
      </c>
      <c r="E8" s="262"/>
      <c r="F8" s="151">
        <v>15000</v>
      </c>
      <c r="G8" s="281"/>
      <c r="H8" s="281"/>
      <c r="I8" s="220"/>
      <c r="J8" s="237"/>
    </row>
    <row r="9" spans="1:10" ht="10" customHeight="1" x14ac:dyDescent="0.35">
      <c r="A9" s="277"/>
      <c r="B9" s="277"/>
      <c r="C9" s="277"/>
      <c r="D9" s="277"/>
      <c r="E9" s="277"/>
      <c r="F9" s="277"/>
      <c r="G9" s="277"/>
      <c r="H9" s="277"/>
      <c r="I9" s="277"/>
      <c r="J9" s="231"/>
    </row>
    <row r="10" spans="1:10" s="238" customFormat="1" ht="34.5" customHeight="1" x14ac:dyDescent="0.4">
      <c r="A10" s="152" t="s">
        <v>163</v>
      </c>
      <c r="B10" s="271" t="s">
        <v>304</v>
      </c>
      <c r="C10" s="271"/>
      <c r="D10" s="175"/>
      <c r="E10" s="175"/>
      <c r="F10" s="185" t="s">
        <v>306</v>
      </c>
      <c r="G10" s="174" t="s">
        <v>307</v>
      </c>
      <c r="H10" s="175"/>
      <c r="I10" s="214"/>
    </row>
    <row r="11" spans="1:10" ht="10" customHeight="1" x14ac:dyDescent="0.35">
      <c r="A11" s="264"/>
      <c r="B11" s="264"/>
      <c r="C11" s="264"/>
      <c r="D11" s="264"/>
      <c r="E11" s="264"/>
      <c r="F11" s="264"/>
      <c r="G11" s="264"/>
      <c r="H11" s="264"/>
      <c r="I11" s="264"/>
      <c r="J11" s="231"/>
    </row>
    <row r="12" spans="1:10" s="238" customFormat="1" ht="44.25" customHeight="1" x14ac:dyDescent="0.35">
      <c r="A12" s="144" t="s">
        <v>31</v>
      </c>
      <c r="B12" s="134" t="s">
        <v>124</v>
      </c>
      <c r="C12" s="134" t="s">
        <v>123</v>
      </c>
      <c r="D12" s="134" t="s">
        <v>19</v>
      </c>
      <c r="E12" s="135" t="s">
        <v>286</v>
      </c>
      <c r="F12" s="135" t="s">
        <v>282</v>
      </c>
      <c r="G12" s="141" t="s">
        <v>303</v>
      </c>
      <c r="H12" s="135" t="s">
        <v>164</v>
      </c>
      <c r="I12" s="215" t="s">
        <v>315</v>
      </c>
    </row>
    <row r="13" spans="1:10" ht="18" customHeight="1" x14ac:dyDescent="0.35">
      <c r="A13" s="159" t="str">
        <f>IFERROR(VLOOKUP($B$8&amp;"T"&amp;1,UNIREF[],5,0),"")</f>
        <v>Honing Tool (E84133-00)</v>
      </c>
      <c r="B13" s="249">
        <f>IFERROR(INDEX(TOOLING[],MATCH(A13,TOOLING[Name and SKU],0),7),"")</f>
        <v>148</v>
      </c>
      <c r="C13" s="136">
        <f>IFERROR(INDEX(TOOLING[],MATCH(A13,TOOLING[Name and SKU],0),5),"")</f>
        <v>3</v>
      </c>
      <c r="D13" s="136" t="str">
        <f>IFERROR(INDEX(TOOLING[],MATCH(A13,TOOLING[Name and SKU],0),6),"")</f>
        <v>case</v>
      </c>
      <c r="E13" s="137">
        <f>IFERROR(INDEX(TOOLING[],MATCH(A13,TOOLING[Name and SKU],0),8),"")</f>
        <v>4000</v>
      </c>
      <c r="F13" s="140">
        <f>IFERROR(IF(E13="","",ROUNDUP($F$8/E13,0)*4),"")</f>
        <v>16</v>
      </c>
      <c r="G13" s="167">
        <v>16</v>
      </c>
      <c r="H13" s="250">
        <f>IF(G13=0,0,IF(G13="","",IF(B13="",0,G13*B13)))</f>
        <v>2368</v>
      </c>
      <c r="I13" s="216">
        <f>IFERROR(IF(E13="N/A","",IF($B$10="--Make Your Selection--","",IF($B$10="CM30 or CP30",IFERROR(INDEX(TOOLING[],MATCH(A13,TOOLING[Name and SKU],0),12),""),IF($B$10="Auto-Scrubber",IFERROR(INDEX(TOOLING[],MATCH(A13,TOOLING[Name and SKU],0),13),""))))),"")</f>
        <v>5000</v>
      </c>
    </row>
    <row r="14" spans="1:10" ht="18" customHeight="1" x14ac:dyDescent="0.35">
      <c r="A14" s="159" t="str">
        <f>IFERROR(VLOOKUP($B$8&amp;"T"&amp;2,UNIREF[],5,0),"")</f>
        <v>Polishing Tool (E84134-00)</v>
      </c>
      <c r="B14" s="249">
        <f>IFERROR(INDEX(TOOLING[],MATCH(A14,TOOLING[Name and SKU],0),7),"")</f>
        <v>96</v>
      </c>
      <c r="C14" s="136">
        <f>IFERROR(INDEX(TOOLING[],MATCH(A14,TOOLING[Name and SKU],0),5),"")</f>
        <v>3</v>
      </c>
      <c r="D14" s="136" t="str">
        <f>IFERROR(INDEX(TOOLING[],MATCH(A14,TOOLING[Name and SKU],0),6),"")</f>
        <v>case</v>
      </c>
      <c r="E14" s="137">
        <f>IFERROR(INDEX(TOOLING[],MATCH(A14,TOOLING[Name and SKU],0),8),"")</f>
        <v>8000</v>
      </c>
      <c r="F14" s="140">
        <f t="shared" ref="F14:F16" si="0">IFERROR(IF(E14="","",ROUNDUP($F$8/E14,0)*4),"")</f>
        <v>8</v>
      </c>
      <c r="G14" s="167">
        <v>8</v>
      </c>
      <c r="H14" s="250">
        <f t="shared" ref="H14:H16" si="1">IF(G14=0,0,IF(G14="","",IF(B14="",0,G14*B14)))</f>
        <v>768</v>
      </c>
      <c r="I14" s="216">
        <f>IFERROR(IF(E14="N/A","",IF($B$10="--Make Your Selection--","",IF($B$10="CM30 or CP30",IFERROR(INDEX(TOOLING[],MATCH(A14,TOOLING[Name and SKU],0),12),""),IF($B$10="Auto-Scrubber",IFERROR(INDEX(TOOLING[],MATCH(A14,TOOLING[Name and SKU],0),13),""))))),"")</f>
        <v>7000</v>
      </c>
    </row>
    <row r="15" spans="1:10" ht="18" customHeight="1" x14ac:dyDescent="0.35">
      <c r="A15" s="159" t="str">
        <f>IFERROR(VLOOKUP($B$8&amp;"T"&amp;3,UNIREF[],5,0),"")</f>
        <v>Reset Tool (E84132-00)</v>
      </c>
      <c r="B15" s="249">
        <f>IFERROR(INDEX(TOOLING[],MATCH(A15,TOOLING[Name and SKU],0),7),"")</f>
        <v>160</v>
      </c>
      <c r="C15" s="136">
        <f>IFERROR(INDEX(TOOLING[],MATCH(A15,TOOLING[Name and SKU],0),5),"")</f>
        <v>3</v>
      </c>
      <c r="D15" s="136" t="str">
        <f>IFERROR(INDEX(TOOLING[],MATCH(A15,TOOLING[Name and SKU],0),6),"")</f>
        <v>case</v>
      </c>
      <c r="E15" s="137">
        <f>IFERROR(INDEX(TOOLING[],MATCH(A15,TOOLING[Name and SKU],0),8),"")</f>
        <v>7500</v>
      </c>
      <c r="F15" s="140">
        <f t="shared" si="0"/>
        <v>8</v>
      </c>
      <c r="G15" s="167">
        <v>8</v>
      </c>
      <c r="H15" s="250">
        <f t="shared" si="1"/>
        <v>1280</v>
      </c>
      <c r="I15" s="216">
        <f>IFERROR(IF(E15="N/A","",IF($B$10="--Make Your Selection--","",IF($B$10="CM30 or CP30",IFERROR(INDEX(TOOLING[],MATCH(A15,TOOLING[Name and SKU],0),12),""),IF($B$10="Auto-Scrubber",IFERROR(INDEX(TOOLING[],MATCH(A15,TOOLING[Name and SKU],0),13),""))))),"")</f>
        <v>5000</v>
      </c>
    </row>
    <row r="16" spans="1:10" ht="18" customHeight="1" x14ac:dyDescent="0.35">
      <c r="A16" s="160" t="str">
        <f>IFERROR(VLOOKUP($B$8&amp;"T"&amp;4,UNIREF[],5,0),"")</f>
        <v>Tool Holder (E84130-00)</v>
      </c>
      <c r="B16" s="249">
        <f>IFERROR(INDEX(TOOLING[],MATCH(A16,TOOLING[Name and SKU],0),7),"")</f>
        <v>63.88</v>
      </c>
      <c r="C16" s="136">
        <f>IFERROR(INDEX(TOOLING[],MATCH(A16,TOOLING[Name and SKU],0),5),"")</f>
        <v>3</v>
      </c>
      <c r="D16" s="136" t="str">
        <f>IFERROR(INDEX(TOOLING[],MATCH(A16,TOOLING[Name and SKU],0),6),"")</f>
        <v>case</v>
      </c>
      <c r="E16" s="137">
        <f>IFERROR(INDEX(TOOLING[],MATCH(A16,TOOLING[Name and SKU],0),8),"")</f>
        <v>150000</v>
      </c>
      <c r="F16" s="140">
        <f t="shared" si="0"/>
        <v>4</v>
      </c>
      <c r="G16" s="167">
        <v>4</v>
      </c>
      <c r="H16" s="250">
        <f t="shared" si="1"/>
        <v>255.52</v>
      </c>
      <c r="I16" s="217" t="str">
        <f>IFERROR(IF(E16="N/A","",IF($B$10="--Make Your Selection--","",IF($B$10="CM30 or CP30",IFERROR(INDEX(TOOLING[],MATCH(A16,TOOLING[Name and SKU],0),12),""),IF($B$10="Auto-Scrubber",IFERROR(INDEX(TOOLING[],MATCH(A16,TOOLING[Name and SKU],0),13),""))))),"")</f>
        <v>N/A</v>
      </c>
    </row>
    <row r="17" spans="1:17" ht="10" customHeight="1" x14ac:dyDescent="0.35">
      <c r="A17" s="264">
        <v>1</v>
      </c>
      <c r="B17" s="264"/>
      <c r="C17" s="264"/>
      <c r="D17" s="264"/>
      <c r="E17" s="264"/>
      <c r="F17" s="264"/>
      <c r="G17" s="264"/>
      <c r="H17" s="264"/>
      <c r="I17" s="264"/>
      <c r="J17" s="231"/>
    </row>
    <row r="18" spans="1:17" ht="45" customHeight="1" x14ac:dyDescent="0.35">
      <c r="A18" s="161" t="s">
        <v>302</v>
      </c>
      <c r="B18" s="134" t="s">
        <v>124</v>
      </c>
      <c r="C18" s="134" t="s">
        <v>123</v>
      </c>
      <c r="D18" s="134" t="s">
        <v>19</v>
      </c>
      <c r="E18" s="135" t="s">
        <v>287</v>
      </c>
      <c r="F18" s="135" t="s">
        <v>282</v>
      </c>
      <c r="G18" s="141" t="s">
        <v>165</v>
      </c>
      <c r="H18" s="135" t="s">
        <v>164</v>
      </c>
      <c r="I18" s="215" t="s">
        <v>315</v>
      </c>
      <c r="L18" s="236" t="s">
        <v>128</v>
      </c>
    </row>
    <row r="19" spans="1:17" ht="18" customHeight="1" x14ac:dyDescent="0.35">
      <c r="A19" s="162" t="s">
        <v>339</v>
      </c>
      <c r="B19" s="249">
        <f>IF(A19="--Make Your Selection--","",IFERROR(INDEX(CPADS[],MATCH(A19,CPADS[Name and SKU],0),7),""))</f>
        <v>108.67</v>
      </c>
      <c r="C19" s="136">
        <f>IF(A19="--Make Your Selection--","",IFERROR(INDEX(CPADS[],MATCH(A19,CPADS[Name and SKU],0),5),""))</f>
        <v>5</v>
      </c>
      <c r="D19" s="168" t="str">
        <f>IF(A19="--Make Your Selection--","",IFERROR(INDEX(CPADS[],MATCH(A19,CPADS[Name and SKU],0),6),""))</f>
        <v>case</v>
      </c>
      <c r="E19" s="169">
        <f>IF(A19="--Make Your Selection--","",IFERROR(INDEX(CPADS[],MATCH(A19,CPADS[Name and SKU],0),8),""))</f>
        <v>200000</v>
      </c>
      <c r="F19" s="140">
        <f>IFERROR(ROUNDUP($F$8/E19,0),"")</f>
        <v>1</v>
      </c>
      <c r="G19" s="167">
        <v>1</v>
      </c>
      <c r="H19" s="250">
        <f t="shared" ref="H19:H20" si="2">IF(G19=0,0,IF(G19="","",IF(B19="",0,G19*B19)))</f>
        <v>108.67</v>
      </c>
      <c r="I19" s="216">
        <f>IFERROR(IF(E19="N/A","",IF($A$19="--Make Your Selection--","",IF($B$10="CM30 or CP30",IFERROR(INDEX(CPADS[],MATCH(A19,CPADS[Name and SKU],0),12),""),IF($B$10="Auto-Scrubber",IFERROR(INDEX(CPADS[],MATCH(A19,CPADS[Name and SKU],0),13),""))))),"")</f>
        <v>20000</v>
      </c>
    </row>
    <row r="20" spans="1:17" ht="18" customHeight="1" x14ac:dyDescent="0.35">
      <c r="A20" s="163" t="s">
        <v>285</v>
      </c>
      <c r="B20" s="249">
        <f>IF(A20="--Make Your Selection--","",IFERROR(INDEX(BPADS[],MATCH(A20,BPADS[Name and SKU],0),7),""))</f>
        <v>86.87</v>
      </c>
      <c r="C20" s="136">
        <f>IF(A20="--Make Your Selection--","",IFERROR(INDEX(BPADS[],MATCH(A20,BPADS[Name and SKU],0),5),""))</f>
        <v>2</v>
      </c>
      <c r="D20" s="168" t="str">
        <f>IF(A20="--Make Your Selection--","",IFERROR(INDEX(BPADS[],MATCH(A20,BPADS[Name and SKU],0),6),""))</f>
        <v>case</v>
      </c>
      <c r="E20" s="169">
        <f>IF(A20="--Make Your Selection--","",IFERROR(INDEX(BPADS[],MATCH(A20,BPADS[Name and SKU],0),8),""))</f>
        <v>200000</v>
      </c>
      <c r="F20" s="140">
        <f>IFERROR(ROUNDUP($F$8/E20,0),"")</f>
        <v>1</v>
      </c>
      <c r="G20" s="167">
        <v>1</v>
      </c>
      <c r="H20" s="250">
        <f t="shared" si="2"/>
        <v>86.87</v>
      </c>
      <c r="I20" s="217">
        <f>IFERROR(IF(E20="N/A","",IF($A$20="--Make Your Selection--","",IF($B$10="CM30 or CP30",IFERROR(INDEX(BPADS[],MATCH(A20,BPADS[Name and SKU],0),12),""),IF($B$10="Auto-Scrubber",IFERROR(INDEX(BPADS[],MATCH(A20,BPADS[Name and SKU],0),13),""))))),"")</f>
        <v>20000</v>
      </c>
    </row>
    <row r="21" spans="1:17" ht="10" customHeight="1" x14ac:dyDescent="0.35">
      <c r="A21" s="264">
        <v>1</v>
      </c>
      <c r="B21" s="264"/>
      <c r="C21" s="264"/>
      <c r="D21" s="264"/>
      <c r="E21" s="264"/>
      <c r="F21" s="264"/>
      <c r="G21" s="264"/>
      <c r="H21" s="264"/>
      <c r="I21" s="278"/>
    </row>
    <row r="22" spans="1:17" ht="45" customHeight="1" x14ac:dyDescent="0.35">
      <c r="A22" s="144" t="s">
        <v>23</v>
      </c>
      <c r="B22" s="134" t="s">
        <v>124</v>
      </c>
      <c r="C22" s="134" t="s">
        <v>284</v>
      </c>
      <c r="D22" s="134" t="s">
        <v>19</v>
      </c>
      <c r="E22" s="135" t="s">
        <v>132</v>
      </c>
      <c r="F22" s="135" t="s">
        <v>283</v>
      </c>
      <c r="G22" s="141" t="s">
        <v>165</v>
      </c>
      <c r="H22" s="135" t="s">
        <v>164</v>
      </c>
      <c r="I22" s="215" t="s">
        <v>315</v>
      </c>
      <c r="Q22" s="236" t="s">
        <v>128</v>
      </c>
    </row>
    <row r="23" spans="1:17" ht="18" customHeight="1" x14ac:dyDescent="0.35">
      <c r="A23" s="164" t="str">
        <f>IFERROR(VLOOKUP($B$8&amp;"P"&amp;1,UNIREF[],5,0),"")</f>
        <v>Densifier (167105-00)</v>
      </c>
      <c r="B23" s="249">
        <f>IFERROR(INDEX(PRODUCTS[],MATCH(A23,PRODUCTS[Name and SKU],0),7),"")</f>
        <v>245.98</v>
      </c>
      <c r="C23" s="136">
        <f>IFERROR(INDEX(PRODUCTS[],MATCH(A23,PRODUCTS[Name and SKU],0),5),"")</f>
        <v>1</v>
      </c>
      <c r="D23" s="136" t="str">
        <f>IFERROR(INDEX(PRODUCTS[],MATCH(A23,PRODUCTS[Name and SKU],0),6),"")</f>
        <v>5 gal pail</v>
      </c>
      <c r="E23" s="137">
        <f>IFERROR(INDEX(PRODUCTS[],MATCH(A23,PRODUCTS[Name and SKU],0),9),"")</f>
        <v>10000</v>
      </c>
      <c r="F23" s="140">
        <f>IFERROR(ROUNDUP($F$8/(E23*1),0),"")</f>
        <v>2</v>
      </c>
      <c r="G23" s="167">
        <v>2</v>
      </c>
      <c r="H23" s="250">
        <f t="shared" ref="H23:H25" si="3">IF(G23=0,0,IF(G23="","",IF(B23="",0,G23*B23)))</f>
        <v>491.96</v>
      </c>
      <c r="I23" s="216">
        <f>IFERROR(IF(E23="N/A","",IF($A$19="--Make Your Selection--","",IF($B$10="CM30 or CP30",IFERROR(INDEX(PRODUCTS[],MATCH(A23,PRODUCTS[Name and SKU],0),12),""),IF($B$10="Auto-Scrubber",IFERROR(INDEX(PRODUCTS[],MATCH(A23,PRODUCTS[Name and SKU],0),13),""))))),"")</f>
        <v>2500</v>
      </c>
    </row>
    <row r="24" spans="1:17" ht="18" customHeight="1" x14ac:dyDescent="0.35">
      <c r="A24" s="164" t="str">
        <f>IFERROR(VLOOKUP($B$8&amp;"P"&amp;2,UNIREF[],5,0),"")</f>
        <v>LiquiGrind (167005-00)</v>
      </c>
      <c r="B24" s="249">
        <f>IFERROR(INDEX(PRODUCTS[],MATCH(A24,PRODUCTS[Name and SKU],0),7),"")</f>
        <v>421.08</v>
      </c>
      <c r="C24" s="136">
        <f>IFERROR(INDEX(PRODUCTS[],MATCH(A24,PRODUCTS[Name and SKU],0),5),"")</f>
        <v>1</v>
      </c>
      <c r="D24" s="136" t="str">
        <f>IFERROR(INDEX(PRODUCTS[],MATCH(A24,PRODUCTS[Name and SKU],0),6),"")</f>
        <v>5 gal pail</v>
      </c>
      <c r="E24" s="137">
        <f>IFERROR(INDEX(PRODUCTS[],MATCH(A24,PRODUCTS[Name and SKU],0),9),"")</f>
        <v>5000</v>
      </c>
      <c r="F24" s="140">
        <f t="shared" ref="F24:F25" si="4">IFERROR(ROUNDUP($F$8/(E24*1),0),"")</f>
        <v>3</v>
      </c>
      <c r="G24" s="167">
        <v>3</v>
      </c>
      <c r="H24" s="250">
        <f t="shared" si="3"/>
        <v>1263.24</v>
      </c>
      <c r="I24" s="216" t="str">
        <f>IFERROR(IF(E24="N/A","",IF($A$19="--Make Your Selection--","",IF($B$10="CM30 or CP30",IFERROR(INDEX(PRODUCTS[],MATCH(A24,PRODUCTS[Name and SKU],0),12),""),IF($B$10="Auto-Scrubber",IFERROR(INDEX(PRODUCTS[],MATCH(A24,PRODUCTS[Name and SKU],0),13),""))))),"")</f>
        <v>N/A</v>
      </c>
      <c r="M24" s="236" t="s">
        <v>128</v>
      </c>
    </row>
    <row r="25" spans="1:17" ht="18" customHeight="1" x14ac:dyDescent="0.35">
      <c r="A25" s="165" t="str">
        <f>IFERROR(VLOOKUP($B$8&amp;"P"&amp;3,UNIREF[],5,0),"")</f>
        <v>Stain Defense (167205-00)</v>
      </c>
      <c r="B25" s="249">
        <f>IFERROR(INDEX(PRODUCTS[],MATCH(A25,PRODUCTS[Name and SKU],0),7),"")</f>
        <v>513.78</v>
      </c>
      <c r="C25" s="136">
        <f>IFERROR(INDEX(PRODUCTS[],MATCH(A25,PRODUCTS[Name and SKU],0),5),"")</f>
        <v>1</v>
      </c>
      <c r="D25" s="136" t="str">
        <f>IFERROR(INDEX(PRODUCTS[],MATCH(A25,PRODUCTS[Name and SKU],0),6),"")</f>
        <v>5 gal pail</v>
      </c>
      <c r="E25" s="137">
        <f>IFERROR(INDEX(PRODUCTS[],MATCH(A25,PRODUCTS[Name and SKU],0),9),"")</f>
        <v>20000</v>
      </c>
      <c r="F25" s="140">
        <f t="shared" si="4"/>
        <v>1</v>
      </c>
      <c r="G25" s="167">
        <v>1</v>
      </c>
      <c r="H25" s="250">
        <f t="shared" si="3"/>
        <v>513.78</v>
      </c>
      <c r="I25" s="217">
        <f>IFERROR(IF(E25="N/A","",IF($A$19="--Make Your Selection--","",IF($B$10="CM30 or CP30",IFERROR(INDEX(PRODUCTS[],MATCH(A25,PRODUCTS[Name and SKU],0),12),""),IF($B$10="Auto-Scrubber",IFERROR(INDEX(PRODUCTS[],MATCH(A25,PRODUCTS[Name and SKU],0),13),""))))),"")</f>
        <v>2500</v>
      </c>
    </row>
    <row r="26" spans="1:17" ht="10" customHeight="1" x14ac:dyDescent="0.35">
      <c r="A26" s="264"/>
      <c r="B26" s="264"/>
      <c r="C26" s="264"/>
      <c r="D26" s="264"/>
      <c r="E26" s="264"/>
      <c r="F26" s="264"/>
      <c r="G26" s="264"/>
      <c r="H26" s="264"/>
      <c r="I26" s="264"/>
      <c r="J26" s="231"/>
    </row>
    <row r="27" spans="1:17" ht="45" customHeight="1" x14ac:dyDescent="0.35">
      <c r="A27" s="144" t="s">
        <v>127</v>
      </c>
      <c r="B27" s="134" t="s">
        <v>124</v>
      </c>
      <c r="C27" s="134" t="s">
        <v>123</v>
      </c>
      <c r="D27" s="134" t="s">
        <v>19</v>
      </c>
      <c r="E27" s="135" t="s">
        <v>125</v>
      </c>
      <c r="F27" s="135" t="s">
        <v>282</v>
      </c>
      <c r="G27" s="141" t="s">
        <v>166</v>
      </c>
      <c r="H27" s="135" t="s">
        <v>164</v>
      </c>
      <c r="I27" s="239"/>
    </row>
    <row r="28" spans="1:17" ht="18" customHeight="1" x14ac:dyDescent="0.35">
      <c r="A28" s="164" t="str">
        <f>IFERROR(VLOOKUP($B$8&amp;"A"&amp;1,UNIREF[],5,0),"")</f>
        <v>CM30 (E29805-00)</v>
      </c>
      <c r="B28" s="249">
        <f>IFERROR(INDEX(AUX[],MATCH(A28,AUX[Name and SKU],0),7),"")</f>
        <v>13930</v>
      </c>
      <c r="C28" s="136">
        <f>IFERROR(INDEX(AUX[],MATCH(A28,AUX[Name and SKU],0),5),"")</f>
        <v>1</v>
      </c>
      <c r="D28" s="136" t="str">
        <f>IFERROR(INDEX(AUX[],MATCH(A28,AUX[Name and SKU]),6),"")</f>
        <v>each</v>
      </c>
      <c r="E28" s="137" t="str">
        <f>IFERROR(INDEX(AUX[],MATCH(A28,AUX[Name and SKU],0),8),"")</f>
        <v>N/A</v>
      </c>
      <c r="F28" s="140" t="s">
        <v>159</v>
      </c>
      <c r="G28" s="167">
        <v>0</v>
      </c>
      <c r="H28" s="250">
        <f t="shared" ref="H28:H36" si="5">IF(G28=0,0,IF(G28="","",IF(B28="",0,G28*B28)))</f>
        <v>0</v>
      </c>
      <c r="I28" s="240"/>
      <c r="J28" s="241"/>
      <c r="K28" s="241"/>
      <c r="L28" s="241"/>
    </row>
    <row r="29" spans="1:17" ht="18" customHeight="1" x14ac:dyDescent="0.35">
      <c r="A29" s="164" t="str">
        <f>IFERROR(VLOOKUP($B$8&amp;"A"&amp;2,UNIREF[],5,0),"")</f>
        <v>CP30 (E29810-00)</v>
      </c>
      <c r="B29" s="249">
        <f>IFERROR(INDEX(AUX[],MATCH(A29,AUX[Name and SKU],0),7),"")</f>
        <v>24995</v>
      </c>
      <c r="C29" s="136">
        <f>IFERROR(INDEX(AUX[],MATCH(A29,AUX[Name and SKU],0),5),"")</f>
        <v>1</v>
      </c>
      <c r="D29" s="136" t="str">
        <f>IFERROR(INDEX(AUX[],MATCH(A29,AUX[Name and SKU]),6),"")</f>
        <v>each</v>
      </c>
      <c r="E29" s="137" t="str">
        <f>IFERROR(INDEX(AUX[],MATCH(A29,AUX[Name and SKU],0),8),"")</f>
        <v>N/A</v>
      </c>
      <c r="F29" s="140" t="s">
        <v>159</v>
      </c>
      <c r="G29" s="167">
        <v>0</v>
      </c>
      <c r="H29" s="250">
        <f t="shared" si="5"/>
        <v>0</v>
      </c>
      <c r="I29" s="240"/>
      <c r="J29" s="241"/>
      <c r="K29" s="241"/>
      <c r="L29" s="241"/>
    </row>
    <row r="30" spans="1:17" ht="18" customHeight="1" x14ac:dyDescent="0.35">
      <c r="A30" s="164" t="str">
        <f>IFERROR(VLOOKUP($B$8&amp;"A"&amp;3,UNIREF[],5,0),"")</f>
        <v>Crete Rx™ Stain Removal Kit (92411-00)</v>
      </c>
      <c r="B30" s="249">
        <f>IFERROR(INDEX(AUX[],MATCH(A30,AUX[Name and SKU],0),7),"")</f>
        <v>280.48</v>
      </c>
      <c r="C30" s="136">
        <f>IFERROR(INDEX(AUX[],MATCH(A30,AUX[Name and SKU],0),5),"")</f>
        <v>12</v>
      </c>
      <c r="D30" s="136" t="str">
        <f>IFERROR(INDEX(AUX[],MATCH(A30,AUX[Name and SKU]),6),"")</f>
        <v>case</v>
      </c>
      <c r="E30" s="137" t="str">
        <f>IFERROR(INDEX(AUX[],MATCH(A30,AUX[Name and SKU],0),8),"")</f>
        <v>N/A</v>
      </c>
      <c r="F30" s="140" t="s">
        <v>159</v>
      </c>
      <c r="G30" s="167">
        <v>0</v>
      </c>
      <c r="H30" s="250">
        <f t="shared" si="5"/>
        <v>0</v>
      </c>
      <c r="I30" s="240"/>
      <c r="J30" s="241"/>
      <c r="K30" s="241"/>
      <c r="L30" s="241"/>
    </row>
    <row r="31" spans="1:17" ht="18" customHeight="1" x14ac:dyDescent="0.35">
      <c r="A31" s="164" t="str">
        <f>IFERROR(VLOOKUP($B$8&amp;"A"&amp;4,UNIREF[],5,0),"")</f>
        <v>CRP (E84143-00)</v>
      </c>
      <c r="B31" s="249">
        <f>IFERROR(INDEX(AUX[],MATCH(A31,AUX[Name and SKU],0),7),"")</f>
        <v>833</v>
      </c>
      <c r="C31" s="136">
        <f>IFERROR(INDEX(AUX[],MATCH(A31,AUX[Name and SKU],0),5),"")</f>
        <v>1</v>
      </c>
      <c r="D31" s="136" t="str">
        <f>IFERROR(INDEX(AUX[],MATCH(A31,AUX[Name and SKU]),6),"")</f>
        <v>case</v>
      </c>
      <c r="E31" s="137" t="str">
        <f>IFERROR(INDEX(AUX[],MATCH(A31,AUX[Name and SKU],0),8),"")</f>
        <v>N/A</v>
      </c>
      <c r="F31" s="140" t="s">
        <v>159</v>
      </c>
      <c r="G31" s="167">
        <v>0</v>
      </c>
      <c r="H31" s="250">
        <f t="shared" si="5"/>
        <v>0</v>
      </c>
      <c r="I31" s="240"/>
      <c r="J31" s="241"/>
      <c r="K31" s="241"/>
      <c r="L31" s="241"/>
    </row>
    <row r="32" spans="1:17" ht="18" customHeight="1" x14ac:dyDescent="0.35">
      <c r="A32" s="164" t="str">
        <f>IFERROR(VLOOKUP($B$8&amp;"A"&amp;5,UNIREF[],5,0),"")</f>
        <v>DensiClean - 12-32 oz. (67912-00)</v>
      </c>
      <c r="B32" s="249">
        <f>IFERROR(INDEX(AUX[],MATCH(A32,AUX[Name and SKU],0),7),"")</f>
        <v>159.94</v>
      </c>
      <c r="C32" s="136">
        <f>IFERROR(INDEX(AUX[],MATCH(A32,AUX[Name and SKU],0),5),"")</f>
        <v>12</v>
      </c>
      <c r="D32" s="136" t="str">
        <f>IFERROR(INDEX(AUX[],MATCH(A32,AUX[Name and SKU]),6),"")</f>
        <v>case</v>
      </c>
      <c r="E32" s="137" t="str">
        <f>IFERROR(INDEX(AUX[],MATCH(A32,AUX[Name and SKU],0),8),"")</f>
        <v>N/A</v>
      </c>
      <c r="F32" s="140" t="s">
        <v>159</v>
      </c>
      <c r="G32" s="167">
        <v>1</v>
      </c>
      <c r="H32" s="250">
        <f t="shared" si="5"/>
        <v>159.94</v>
      </c>
      <c r="I32" s="240"/>
      <c r="J32" s="241"/>
      <c r="K32" s="241"/>
      <c r="L32" s="241"/>
    </row>
    <row r="33" spans="1:9" ht="18" customHeight="1" x14ac:dyDescent="0.35">
      <c r="A33" s="164" t="str">
        <f>IFERROR(VLOOKUP($B$8&amp;"A"&amp;6,UNIREF[],5,0),"")</f>
        <v>DensiClean - 4 - 2L FastDraw (67947-00)</v>
      </c>
      <c r="B33" s="249">
        <f>IFERROR(INDEX(AUX[],MATCH(A33,AUX[Name and SKU],0),7),"")</f>
        <v>245.14</v>
      </c>
      <c r="C33" s="136">
        <f>IFERROR(INDEX(AUX[],MATCH(A33,AUX[Name and SKU],0),5),"")</f>
        <v>4</v>
      </c>
      <c r="D33" s="136" t="str">
        <f>IFERROR(INDEX(AUX[],MATCH(A33,AUX[Name and SKU]),6),"")</f>
        <v>case</v>
      </c>
      <c r="E33" s="137" t="str">
        <f>IFERROR(INDEX(AUX[],MATCH(A33,AUX[Name and SKU],0),8),"")</f>
        <v>N/A</v>
      </c>
      <c r="F33" s="140" t="s">
        <v>159</v>
      </c>
      <c r="G33" s="167">
        <v>0</v>
      </c>
      <c r="H33" s="250">
        <f t="shared" si="5"/>
        <v>0</v>
      </c>
      <c r="I33" s="240"/>
    </row>
    <row r="34" spans="1:9" ht="18" customHeight="1" x14ac:dyDescent="0.35">
      <c r="A34" s="164" t="str">
        <f>IFERROR(VLOOKUP($B$8&amp;"A"&amp;7,UNIREF[],5,0),"")</f>
        <v>Polishing Tool Spacer (E84173-00)</v>
      </c>
      <c r="B34" s="249">
        <f>IFERROR(INDEX(AUX[],MATCH(A34,AUX[Name and SKU],0),7),"")</f>
        <v>12.92</v>
      </c>
      <c r="C34" s="136">
        <f>IFERROR(INDEX(AUX[],MATCH(A34,AUX[Name and SKU],0),5),"")</f>
        <v>3</v>
      </c>
      <c r="D34" s="136" t="str">
        <f>IFERROR(INDEX(AUX[],MATCH(A34,AUX[Name and SKU]),6),"")</f>
        <v>case</v>
      </c>
      <c r="E34" s="137" t="str">
        <f>IFERROR(INDEX(AUX[],MATCH(A34,AUX[Name and SKU],0),8),"")</f>
        <v>N/A</v>
      </c>
      <c r="F34" s="140" t="s">
        <v>159</v>
      </c>
      <c r="G34" s="167">
        <v>0</v>
      </c>
      <c r="H34" s="250">
        <f t="shared" si="5"/>
        <v>0</v>
      </c>
      <c r="I34" s="240"/>
    </row>
    <row r="35" spans="1:9" ht="18" customHeight="1" x14ac:dyDescent="0.35">
      <c r="A35" s="164" t="str">
        <f>IFERROR(VLOOKUP($B$8&amp;"A"&amp;8,UNIREF[],5,0),"")</f>
        <v>TAP (E80001-00)</v>
      </c>
      <c r="B35" s="249">
        <f>IFERROR(INDEX(AUX[],MATCH(A35,AUX[Name and SKU],0),7),"")</f>
        <v>164.27</v>
      </c>
      <c r="C35" s="136">
        <f>IFERROR(INDEX(AUX[],MATCH(A35,AUX[Name and SKU],0),5),"")</f>
        <v>1</v>
      </c>
      <c r="D35" s="136" t="str">
        <f>IFERROR(INDEX(AUX[],MATCH(A35,AUX[Name and SKU]),6),"")</f>
        <v>case</v>
      </c>
      <c r="E35" s="137" t="str">
        <f>IFERROR(INDEX(AUX[],MATCH(A35,AUX[Name and SKU],0),8),"")</f>
        <v>N/A</v>
      </c>
      <c r="F35" s="140" t="s">
        <v>159</v>
      </c>
      <c r="G35" s="167">
        <v>0</v>
      </c>
      <c r="H35" s="250">
        <f t="shared" si="5"/>
        <v>0</v>
      </c>
      <c r="I35" s="240"/>
    </row>
    <row r="36" spans="1:9" ht="18" customHeight="1" x14ac:dyDescent="0.35">
      <c r="A36" s="164" t="str">
        <f>IFERROR(VLOOKUP($B$8&amp;"A"&amp;9,UNIREF[],5,0),"")</f>
        <v>Velcro Disk Replacement Kit (E84144-00)</v>
      </c>
      <c r="B36" s="249">
        <f>IFERROR(INDEX(AUX[],MATCH(A36,AUX[Name and SKU],0),7),"")</f>
        <v>4.5</v>
      </c>
      <c r="C36" s="136">
        <f>IFERROR(INDEX(AUX[],MATCH(A36,AUX[Name and SKU],0),5),"")</f>
        <v>6</v>
      </c>
      <c r="D36" s="136" t="str">
        <f>IFERROR(INDEX(AUX[],MATCH(A36,AUX[Name and SKU]),6),"")</f>
        <v>case</v>
      </c>
      <c r="E36" s="137" t="str">
        <f>IFERROR(INDEX(AUX[],MATCH(A36,AUX[Name and SKU],0),8),"")</f>
        <v>N/A</v>
      </c>
      <c r="F36" s="140" t="s">
        <v>159</v>
      </c>
      <c r="G36" s="167">
        <v>0</v>
      </c>
      <c r="H36" s="250">
        <f t="shared" si="5"/>
        <v>0</v>
      </c>
      <c r="I36" s="240"/>
    </row>
    <row r="37" spans="1:9" ht="10" customHeight="1" x14ac:dyDescent="0.35">
      <c r="A37" s="279"/>
      <c r="B37" s="279"/>
      <c r="C37" s="279"/>
      <c r="D37" s="279"/>
      <c r="E37" s="279"/>
      <c r="F37" s="279"/>
      <c r="G37" s="279"/>
      <c r="H37" s="280"/>
      <c r="I37" s="242"/>
    </row>
    <row r="38" spans="1:9" ht="18" customHeight="1" x14ac:dyDescent="0.35">
      <c r="A38" s="283" t="s">
        <v>160</v>
      </c>
      <c r="B38" s="283"/>
      <c r="C38" s="283"/>
      <c r="D38" s="283"/>
      <c r="E38" s="283"/>
      <c r="F38" s="282" t="s">
        <v>310</v>
      </c>
      <c r="G38" s="282"/>
      <c r="H38" s="155">
        <f>SUM(H13:H36)</f>
        <v>7295.98</v>
      </c>
      <c r="I38" s="243"/>
    </row>
    <row r="39" spans="1:9" ht="18" customHeight="1" x14ac:dyDescent="0.35">
      <c r="A39" s="133"/>
      <c r="B39" s="251"/>
      <c r="C39" s="251"/>
      <c r="D39" s="251"/>
      <c r="E39" s="133"/>
      <c r="F39" s="282" t="s">
        <v>167</v>
      </c>
      <c r="G39" s="282"/>
      <c r="H39" s="155">
        <f>IFERROR(H38/$F$8,DOLLAR(0,2))</f>
        <v>0.48639866666666665</v>
      </c>
      <c r="I39" s="244"/>
    </row>
    <row r="40" spans="1:9" ht="7" customHeight="1" x14ac:dyDescent="0.35">
      <c r="A40" s="252"/>
      <c r="B40" s="251"/>
      <c r="C40" s="251"/>
      <c r="D40" s="251"/>
      <c r="E40" s="253"/>
      <c r="F40" s="133"/>
      <c r="G40" s="157"/>
      <c r="H40" s="218"/>
      <c r="I40" s="245"/>
    </row>
    <row r="41" spans="1:9" ht="18" customHeight="1" x14ac:dyDescent="0.35">
      <c r="A41" s="133"/>
      <c r="B41" s="251"/>
      <c r="C41" s="251"/>
      <c r="D41" s="251"/>
      <c r="E41" s="139"/>
      <c r="F41" s="139"/>
      <c r="G41" s="133"/>
      <c r="H41" s="158"/>
      <c r="I41" s="246"/>
    </row>
    <row r="42" spans="1:9" ht="27.75" customHeight="1" x14ac:dyDescent="0.65">
      <c r="A42" s="133"/>
      <c r="B42" s="251"/>
      <c r="C42" s="254"/>
      <c r="D42" s="255"/>
      <c r="E42" s="256"/>
      <c r="F42" s="274" t="s">
        <v>316</v>
      </c>
      <c r="G42" s="274"/>
      <c r="H42" s="219">
        <f>H38</f>
        <v>7295.98</v>
      </c>
      <c r="I42" s="246"/>
    </row>
    <row r="43" spans="1:9" ht="15" customHeight="1" x14ac:dyDescent="0.35">
      <c r="A43" s="133"/>
      <c r="B43" s="257"/>
      <c r="C43" s="257"/>
      <c r="D43" s="257"/>
      <c r="E43" s="138"/>
      <c r="F43" s="138"/>
      <c r="G43" s="158"/>
      <c r="H43" s="158"/>
      <c r="I43" s="246"/>
    </row>
    <row r="44" spans="1:9" ht="15" customHeight="1" x14ac:dyDescent="0.35">
      <c r="A44" s="138"/>
      <c r="B44" s="138"/>
      <c r="C44" s="138"/>
      <c r="D44" s="138"/>
      <c r="E44" s="138"/>
      <c r="F44" s="275" t="s">
        <v>301</v>
      </c>
      <c r="G44" s="275"/>
      <c r="H44" s="275"/>
      <c r="I44" s="246"/>
    </row>
    <row r="45" spans="1:9" ht="15" customHeight="1" x14ac:dyDescent="0.35">
      <c r="A45" s="138"/>
      <c r="B45" s="138"/>
      <c r="C45" s="138"/>
      <c r="D45" s="138"/>
      <c r="E45" s="138"/>
      <c r="F45" s="275"/>
      <c r="G45" s="275"/>
      <c r="H45" s="275"/>
      <c r="I45" s="246"/>
    </row>
    <row r="46" spans="1:9" ht="15" customHeight="1" x14ac:dyDescent="0.35">
      <c r="A46" s="138"/>
      <c r="B46" s="138"/>
      <c r="C46" s="138"/>
      <c r="D46" s="138"/>
      <c r="E46" s="138"/>
      <c r="F46" s="275"/>
      <c r="G46" s="275"/>
      <c r="H46" s="275"/>
      <c r="I46" s="246"/>
    </row>
    <row r="47" spans="1:9" ht="15" customHeight="1" x14ac:dyDescent="0.35">
      <c r="G47" s="246"/>
      <c r="H47" s="246"/>
      <c r="I47" s="246"/>
    </row>
    <row r="48" spans="1:9" ht="15" customHeight="1" x14ac:dyDescent="0.35">
      <c r="G48" s="246"/>
      <c r="H48" s="246"/>
      <c r="I48" s="246"/>
    </row>
    <row r="49" ht="15" customHeight="1" x14ac:dyDescent="0.35"/>
    <row r="50" ht="15" customHeight="1" x14ac:dyDescent="0.35"/>
    <row r="51" ht="15" customHeight="1" x14ac:dyDescent="0.35"/>
    <row r="52" ht="15" customHeight="1" x14ac:dyDescent="0.35"/>
  </sheetData>
  <sheetProtection selectLockedCells="1"/>
  <protectedRanges>
    <protectedRange sqref="A19:A20 D10 I3 I26 B8 G8:H8 I28:I36 H10 F10 A10" name="Editable Ranges"/>
    <protectedRange sqref="A5:A7 A2 E2 B5:C6 E5:E6" name="Editable Ranges_1"/>
  </protectedRanges>
  <mergeCells count="24">
    <mergeCell ref="F42:G42"/>
    <mergeCell ref="F44:H46"/>
    <mergeCell ref="A7:I7"/>
    <mergeCell ref="A9:I9"/>
    <mergeCell ref="A21:I21"/>
    <mergeCell ref="A26:I26"/>
    <mergeCell ref="A37:H37"/>
    <mergeCell ref="G8:H8"/>
    <mergeCell ref="F39:G39"/>
    <mergeCell ref="A17:I17"/>
    <mergeCell ref="A38:E38"/>
    <mergeCell ref="F38:G38"/>
    <mergeCell ref="A1:I1"/>
    <mergeCell ref="D8:E8"/>
    <mergeCell ref="B8:C8"/>
    <mergeCell ref="A11:I11"/>
    <mergeCell ref="A3:B6"/>
    <mergeCell ref="C6:F6"/>
    <mergeCell ref="G6:I6"/>
    <mergeCell ref="C3:I3"/>
    <mergeCell ref="C4:I4"/>
    <mergeCell ref="C5:I5"/>
    <mergeCell ref="B10:C10"/>
    <mergeCell ref="A2:G2"/>
  </mergeCells>
  <conditionalFormatting sqref="E18 E22">
    <cfRule type="cellIs" dxfId="62" priority="3" operator="equal">
      <formula>"UNK"</formula>
    </cfRule>
  </conditionalFormatting>
  <hyperlinks>
    <hyperlink ref="G6:I6" r:id="rId1" display="Crete Rx Estimator on Betco.com"/>
  </hyperlinks>
  <pageMargins left="0.25" right="0.25" top="0.75" bottom="0.75" header="0.3" footer="0.3"/>
  <pageSetup scale="72" orientation="landscape" r:id="rId2"/>
  <headerFooter>
    <oddHeader>&amp;L&amp;G&amp;C&amp;"Arial,Bold"&amp;16Crete Rx™ Cost Calculator</oddHeader>
    <oddFooter>&amp;R&amp;G</oddFooter>
  </headerFooter>
  <drawing r:id="rId3"/>
  <legacyDrawingHF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DATA!$B$43:$B$46</xm:f>
          </x14:formula1>
          <xm:sqref>B8</xm:sqref>
        </x14:dataValidation>
        <x14:dataValidation type="list" allowBlank="1" showInputMessage="1" showErrorMessage="1">
          <x14:formula1>
            <xm:f>DATA!$B$20:$B$23</xm:f>
          </x14:formula1>
          <xm:sqref>A20</xm:sqref>
        </x14:dataValidation>
        <x14:dataValidation type="list" allowBlank="1" showInputMessage="1" showErrorMessage="1">
          <x14:formula1>
            <xm:f>DATA!$B$9:$B$17</xm:f>
          </x14:formula1>
          <xm:sqref>A19</xm:sqref>
        </x14:dataValidation>
        <x14:dataValidation type="list" allowBlank="1" showInputMessage="1" showErrorMessage="1">
          <x14:formula1>
            <xm:f>DATA!$B$49:$B$51</xm:f>
          </x14:formula1>
          <xm:sqref>B10:C10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C7" sqref="C7"/>
    </sheetView>
  </sheetViews>
  <sheetFormatPr defaultColWidth="9.1796875" defaultRowHeight="14.5" x14ac:dyDescent="0.35"/>
  <cols>
    <col min="1" max="5" width="39.26953125" style="230" customWidth="1"/>
    <col min="6" max="16384" width="9.1796875" style="230"/>
  </cols>
  <sheetData>
    <row r="1" spans="1:5" ht="20.5" thickTop="1" x14ac:dyDescent="0.35">
      <c r="A1" s="294" t="s">
        <v>313</v>
      </c>
      <c r="B1" s="295"/>
      <c r="C1" s="295"/>
      <c r="D1" s="295"/>
      <c r="E1" s="296"/>
    </row>
    <row r="2" spans="1:5" ht="40.5" customHeight="1" x14ac:dyDescent="0.35">
      <c r="A2" s="284" t="s">
        <v>330</v>
      </c>
      <c r="B2" s="262"/>
      <c r="C2" s="221" t="s">
        <v>18</v>
      </c>
      <c r="D2" s="285" t="s">
        <v>335</v>
      </c>
      <c r="E2" s="286"/>
    </row>
    <row r="3" spans="1:5" ht="40.5" customHeight="1" x14ac:dyDescent="0.35">
      <c r="A3" s="284" t="s">
        <v>329</v>
      </c>
      <c r="B3" s="262"/>
      <c r="C3" s="221">
        <v>15000</v>
      </c>
      <c r="D3" s="285" t="s">
        <v>314</v>
      </c>
      <c r="E3" s="286"/>
    </row>
    <row r="4" spans="1:5" ht="40.5" customHeight="1" x14ac:dyDescent="0.35">
      <c r="A4" s="284" t="s">
        <v>331</v>
      </c>
      <c r="B4" s="262"/>
      <c r="C4" s="222">
        <v>20</v>
      </c>
      <c r="D4" s="285" t="s">
        <v>311</v>
      </c>
      <c r="E4" s="286"/>
    </row>
    <row r="5" spans="1:5" ht="40.5" customHeight="1" x14ac:dyDescent="0.35">
      <c r="A5" s="284" t="s">
        <v>332</v>
      </c>
      <c r="B5" s="262"/>
      <c r="C5" s="223">
        <v>1</v>
      </c>
      <c r="D5" s="285" t="s">
        <v>312</v>
      </c>
      <c r="E5" s="286"/>
    </row>
    <row r="6" spans="1:5" ht="40.5" customHeight="1" x14ac:dyDescent="0.35">
      <c r="A6" s="284" t="s">
        <v>333</v>
      </c>
      <c r="B6" s="262"/>
      <c r="C6" s="233">
        <v>375</v>
      </c>
      <c r="D6" s="285" t="s">
        <v>320</v>
      </c>
      <c r="E6" s="286"/>
    </row>
    <row r="7" spans="1:5" ht="40.5" customHeight="1" x14ac:dyDescent="0.35">
      <c r="A7" s="284" t="s">
        <v>334</v>
      </c>
      <c r="B7" s="262"/>
      <c r="C7" s="223">
        <v>1</v>
      </c>
      <c r="D7" s="285" t="s">
        <v>322</v>
      </c>
      <c r="E7" s="286"/>
    </row>
    <row r="8" spans="1:5" ht="40.5" customHeight="1" x14ac:dyDescent="0.35">
      <c r="A8" s="287" t="s">
        <v>318</v>
      </c>
      <c r="B8" s="288"/>
      <c r="C8" s="234">
        <f>IF(C2="Reset Maintenance",3*((ROUND($C$3/($C$5*$C$6)*4,0)/4)),IF(C2="Restorative Maintenance",2*((ROUND($C$3/($C$5*$C$6)*4,0)/4)),IF(C2="Interim Maintenance",(ROUND($C$3/($C$5*$C$6)*4,0)/4),"")))</f>
        <v>80</v>
      </c>
      <c r="D8" s="213" t="s">
        <v>309</v>
      </c>
      <c r="E8" s="235">
        <f>IF(C8="","",$C$4*$C$7*$C$8)</f>
        <v>1600</v>
      </c>
    </row>
    <row r="9" spans="1:5" x14ac:dyDescent="0.35">
      <c r="A9" s="289" t="s">
        <v>321</v>
      </c>
      <c r="B9" s="292"/>
      <c r="C9" s="292"/>
      <c r="D9" s="292"/>
      <c r="E9" s="293"/>
    </row>
    <row r="10" spans="1:5" x14ac:dyDescent="0.35">
      <c r="A10" s="289" t="s">
        <v>319</v>
      </c>
      <c r="B10" s="290"/>
      <c r="C10" s="290"/>
      <c r="D10" s="290"/>
      <c r="E10" s="291"/>
    </row>
  </sheetData>
  <sheetProtection sheet="1" objects="1" scenarios="1" selectLockedCells="1"/>
  <protectedRanges>
    <protectedRange sqref="A1 C8 C2:E6" name="Editable Ranges"/>
    <protectedRange sqref="C7:E7" name="Editable Ranges_1"/>
    <protectedRange sqref="D8:E8" name="Editable Ranges_2"/>
  </protectedRanges>
  <mergeCells count="16">
    <mergeCell ref="A6:B6"/>
    <mergeCell ref="D6:E6"/>
    <mergeCell ref="A2:B2"/>
    <mergeCell ref="D2:E2"/>
    <mergeCell ref="A1:E1"/>
    <mergeCell ref="A4:B4"/>
    <mergeCell ref="D4:E4"/>
    <mergeCell ref="A5:B5"/>
    <mergeCell ref="D5:E5"/>
    <mergeCell ref="A3:B3"/>
    <mergeCell ref="D3:E3"/>
    <mergeCell ref="A7:B7"/>
    <mergeCell ref="D7:E7"/>
    <mergeCell ref="A8:B8"/>
    <mergeCell ref="A10:E10"/>
    <mergeCell ref="A9:E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DATA!$B$43:$B$46</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C3" sqref="C3:C4"/>
    </sheetView>
  </sheetViews>
  <sheetFormatPr defaultColWidth="9.1796875" defaultRowHeight="14.5" x14ac:dyDescent="0.35"/>
  <cols>
    <col min="1" max="1" width="27.1796875" style="230" customWidth="1"/>
    <col min="2" max="2" width="23.7265625" style="230" bestFit="1" customWidth="1"/>
    <col min="3" max="3" width="25.26953125" style="230" bestFit="1" customWidth="1"/>
    <col min="4" max="16384" width="9.1796875" style="230"/>
  </cols>
  <sheetData>
    <row r="1" spans="1:3" ht="20" x14ac:dyDescent="0.35">
      <c r="A1" s="300" t="s">
        <v>325</v>
      </c>
      <c r="B1" s="300"/>
      <c r="C1" s="300"/>
    </row>
    <row r="2" spans="1:3" ht="15.5" x14ac:dyDescent="0.35">
      <c r="A2" s="301"/>
      <c r="B2" s="302"/>
      <c r="C2" s="303"/>
    </row>
    <row r="3" spans="1:3" x14ac:dyDescent="0.35">
      <c r="A3" s="304" t="s">
        <v>323</v>
      </c>
      <c r="B3" s="305"/>
      <c r="C3" s="306">
        <v>0</v>
      </c>
    </row>
    <row r="4" spans="1:3" x14ac:dyDescent="0.35">
      <c r="A4" s="297"/>
      <c r="B4" s="298"/>
      <c r="C4" s="299"/>
    </row>
    <row r="5" spans="1:3" ht="15.5" x14ac:dyDescent="0.35">
      <c r="A5" s="307"/>
      <c r="B5" s="308"/>
      <c r="C5" s="309"/>
    </row>
    <row r="6" spans="1:3" x14ac:dyDescent="0.35">
      <c r="A6" s="297" t="s">
        <v>324</v>
      </c>
      <c r="B6" s="298"/>
      <c r="C6" s="299" t="s">
        <v>174</v>
      </c>
    </row>
    <row r="7" spans="1:3" x14ac:dyDescent="0.35">
      <c r="A7" s="297"/>
      <c r="B7" s="298"/>
      <c r="C7" s="299"/>
    </row>
    <row r="8" spans="1:3" ht="15.5" x14ac:dyDescent="0.35">
      <c r="A8" s="229" t="s">
        <v>15</v>
      </c>
      <c r="B8" s="232">
        <v>225</v>
      </c>
      <c r="C8" s="224" t="str">
        <f>IF(C3=0,DOLLAR(0,2),B8*C3)</f>
        <v>$0.00</v>
      </c>
    </row>
    <row r="9" spans="1:3" ht="15.5" x14ac:dyDescent="0.35">
      <c r="A9" s="153"/>
      <c r="B9" s="154" t="s">
        <v>16</v>
      </c>
      <c r="C9" s="225" t="str">
        <f>IF(C3=0,DOLLAR(0,2),100)</f>
        <v>$0.00</v>
      </c>
    </row>
    <row r="10" spans="1:3" ht="15.5" x14ac:dyDescent="0.35">
      <c r="A10" s="153"/>
      <c r="B10" s="154" t="s">
        <v>17</v>
      </c>
      <c r="C10" s="225" t="str">
        <f>IF(C3=0,DOLLAR(0,2),IFERROR(INDEX(FREIGHT[],MATCH(C6,FREIGHT[Abbreviation],0),6),""))</f>
        <v>$0.00</v>
      </c>
    </row>
    <row r="11" spans="1:3" ht="18.5" thickBot="1" x14ac:dyDescent="0.4">
      <c r="A11" s="226"/>
      <c r="B11" s="227" t="s">
        <v>6</v>
      </c>
      <c r="C11" s="228">
        <f>SUM(C8:C10)</f>
        <v>0</v>
      </c>
    </row>
    <row r="12" spans="1:3" ht="15" thickTop="1" x14ac:dyDescent="0.35"/>
  </sheetData>
  <sheetProtection sheet="1" objects="1" scenarios="1" selectLockedCells="1"/>
  <protectedRanges>
    <protectedRange sqref="C3 C6" name="Editable Ranges"/>
  </protectedRanges>
  <mergeCells count="7">
    <mergeCell ref="A6:B7"/>
    <mergeCell ref="C6:C7"/>
    <mergeCell ref="A1:C1"/>
    <mergeCell ref="A2:C2"/>
    <mergeCell ref="A3:B4"/>
    <mergeCell ref="C3:C4"/>
    <mergeCell ref="A5:C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DATA!$W$2:$W$50</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31"/>
  <sheetViews>
    <sheetView showGridLines="0" topLeftCell="A7" zoomScale="60" zoomScaleNormal="60" zoomScaleSheetLayoutView="70" zoomScalePageLayoutView="77" workbookViewId="0">
      <selection activeCell="E23" sqref="E23"/>
    </sheetView>
  </sheetViews>
  <sheetFormatPr defaultColWidth="9.1796875" defaultRowHeight="12.5" x14ac:dyDescent="0.25"/>
  <cols>
    <col min="1" max="1" width="33.26953125" style="94" customWidth="1"/>
    <col min="2" max="2" width="38.7265625" style="95" customWidth="1"/>
    <col min="3" max="3" width="19.7265625" style="95" customWidth="1"/>
    <col min="4" max="4" width="5.81640625" style="95" customWidth="1"/>
    <col min="5" max="5" width="12.1796875" style="95" customWidth="1"/>
    <col min="6" max="6" width="19.7265625" style="95" customWidth="1"/>
    <col min="7" max="7" width="19.54296875" style="96" customWidth="1"/>
    <col min="8" max="8" width="19.7265625" style="97" customWidth="1"/>
    <col min="9" max="22" width="9.1796875" style="95"/>
    <col min="23" max="23" width="13" style="95" bestFit="1" customWidth="1"/>
    <col min="24" max="16384" width="9.1796875" style="95"/>
  </cols>
  <sheetData>
    <row r="1" spans="1:8" s="93" customFormat="1" ht="237.75" customHeight="1" x14ac:dyDescent="0.35">
      <c r="A1" s="310" t="s">
        <v>161</v>
      </c>
      <c r="B1" s="310"/>
      <c r="C1" s="310"/>
      <c r="D1" s="310"/>
      <c r="E1" s="310"/>
      <c r="F1" s="310"/>
      <c r="G1" s="310"/>
      <c r="H1" s="310"/>
    </row>
    <row r="2" spans="1:8" s="101" customFormat="1" ht="14.25" customHeight="1" x14ac:dyDescent="0.35">
      <c r="A2" s="98"/>
      <c r="B2" s="98"/>
      <c r="C2" s="98"/>
      <c r="D2" s="98"/>
      <c r="E2" s="98"/>
      <c r="F2" s="98"/>
      <c r="G2" s="99"/>
      <c r="H2" s="100"/>
    </row>
    <row r="3" spans="1:8" s="93" customFormat="1" ht="20" x14ac:dyDescent="0.35">
      <c r="A3" s="102" t="s">
        <v>25</v>
      </c>
      <c r="B3" s="102" t="s">
        <v>137</v>
      </c>
      <c r="C3" s="102"/>
      <c r="D3" s="102"/>
      <c r="E3" s="102"/>
      <c r="F3" s="102" t="s">
        <v>138</v>
      </c>
      <c r="G3" s="103" t="s">
        <v>139</v>
      </c>
      <c r="H3" s="104" t="s">
        <v>6</v>
      </c>
    </row>
    <row r="4" spans="1:8" s="101" customFormat="1" ht="20" x14ac:dyDescent="0.35">
      <c r="A4" s="105"/>
      <c r="B4" s="105"/>
      <c r="C4" s="105"/>
      <c r="D4" s="105"/>
      <c r="E4" s="105"/>
      <c r="F4" s="105"/>
      <c r="G4" s="106"/>
      <c r="H4" s="107"/>
    </row>
    <row r="5" spans="1:8" s="93" customFormat="1" ht="20" x14ac:dyDescent="0.4">
      <c r="A5" s="108" t="s">
        <v>140</v>
      </c>
      <c r="B5" s="109"/>
      <c r="C5" s="109"/>
      <c r="D5" s="109"/>
      <c r="E5" s="109"/>
      <c r="F5" s="110"/>
      <c r="G5" s="111"/>
      <c r="H5" s="111"/>
    </row>
    <row r="6" spans="1:8" s="93" customFormat="1" ht="20" x14ac:dyDescent="0.4">
      <c r="A6" s="112" t="str">
        <f>IF(B6="","",MID(B6,(SEARCH("(",B6)+1),((SEARCH(")",B6)-(SEARCH("(",B6)+1)))))</f>
        <v>E84133-00</v>
      </c>
      <c r="B6" s="112" t="str">
        <f>'COST ESTIMATOR'!A13</f>
        <v>Honing Tool (E84133-00)</v>
      </c>
      <c r="C6" s="112"/>
      <c r="D6" s="112"/>
      <c r="E6" s="112"/>
      <c r="F6" s="113">
        <f>IF('COST ESTIMATOR'!G13="","0",'COST ESTIMATOR'!G13)</f>
        <v>16</v>
      </c>
      <c r="G6" s="148">
        <f>IFERROR(INDEX(TOOLING[],MATCH(B6,TOOLING[Name and SKU],0),7),"$0.00")</f>
        <v>148</v>
      </c>
      <c r="H6" s="147">
        <f>IF('COST ESTIMATOR'!H13="","0",'COST ESTIMATOR'!H13)</f>
        <v>2368</v>
      </c>
    </row>
    <row r="7" spans="1:8" s="93" customFormat="1" ht="20" x14ac:dyDescent="0.4">
      <c r="A7" s="112" t="str">
        <f t="shared" ref="A7:A10" si="0">IF(B7="","",MID(B7,(SEARCH("(",B7)+1),((SEARCH(")",B7)-(SEARCH("(",B7)+1)))))</f>
        <v>E84134-00</v>
      </c>
      <c r="B7" s="112" t="str">
        <f>'COST ESTIMATOR'!A14</f>
        <v>Polishing Tool (E84134-00)</v>
      </c>
      <c r="C7" s="112"/>
      <c r="D7" s="112"/>
      <c r="E7" s="112"/>
      <c r="F7" s="113">
        <f>IF('COST ESTIMATOR'!G14="","0",'COST ESTIMATOR'!G14)</f>
        <v>8</v>
      </c>
      <c r="G7" s="148">
        <f>IFERROR(INDEX(TOOLING[],MATCH(B7,TOOLING[Name and SKU],0),7),"$0.00")</f>
        <v>96</v>
      </c>
      <c r="H7" s="147">
        <f>IF('COST ESTIMATOR'!H14="","0",'COST ESTIMATOR'!H14)</f>
        <v>768</v>
      </c>
    </row>
    <row r="8" spans="1:8" s="93" customFormat="1" ht="20" x14ac:dyDescent="0.4">
      <c r="A8" s="112" t="str">
        <f t="shared" si="0"/>
        <v>E84132-00</v>
      </c>
      <c r="B8" s="112" t="str">
        <f>'COST ESTIMATOR'!A15</f>
        <v>Reset Tool (E84132-00)</v>
      </c>
      <c r="C8" s="112"/>
      <c r="D8" s="112"/>
      <c r="E8" s="112"/>
      <c r="F8" s="113">
        <f>IF('COST ESTIMATOR'!G15="","0",'COST ESTIMATOR'!G15)</f>
        <v>8</v>
      </c>
      <c r="G8" s="148">
        <f>IFERROR(INDEX(TOOLING[],MATCH(B8,TOOLING[Name and SKU],0),7),"$0.00")</f>
        <v>160</v>
      </c>
      <c r="H8" s="147">
        <f>IF('COST ESTIMATOR'!H15="","0",'COST ESTIMATOR'!H15)</f>
        <v>1280</v>
      </c>
    </row>
    <row r="9" spans="1:8" s="93" customFormat="1" ht="20" x14ac:dyDescent="0.4">
      <c r="A9" s="112" t="str">
        <f t="shared" si="0"/>
        <v>E84130-00</v>
      </c>
      <c r="B9" s="112" t="str">
        <f>'COST ESTIMATOR'!A16</f>
        <v>Tool Holder (E84130-00)</v>
      </c>
      <c r="C9" s="112"/>
      <c r="D9" s="112"/>
      <c r="E9" s="112"/>
      <c r="F9" s="113">
        <f>IF('COST ESTIMATOR'!G16="","0",'COST ESTIMATOR'!G16)</f>
        <v>4</v>
      </c>
      <c r="G9" s="148">
        <f>IFERROR(INDEX(TOOLING[],MATCH(B9,TOOLING[Name and SKU],0),7),"$0.00")</f>
        <v>63.88</v>
      </c>
      <c r="H9" s="147">
        <f>IF('COST ESTIMATOR'!H16="","0",'COST ESTIMATOR'!H16)</f>
        <v>255.52</v>
      </c>
    </row>
    <row r="10" spans="1:8" s="93" customFormat="1" ht="20" x14ac:dyDescent="0.4">
      <c r="A10" s="112" t="str">
        <f t="shared" si="0"/>
        <v/>
      </c>
      <c r="B10" s="112" t="str">
        <f>IFERROR(VLOOKUP('COST ESTIMATOR'!$D$8&amp;"T"&amp;5,DATA!$Q$2:$U$44,5,0),"")</f>
        <v/>
      </c>
      <c r="C10" s="112"/>
      <c r="D10" s="112"/>
      <c r="E10" s="112"/>
      <c r="F10" s="114"/>
      <c r="G10" s="148" t="str">
        <f>IFERROR(INDEX(DATA!$A$2:$M$6,MATCH(B10,DATA!$B$2:$B$6,0),7),"")</f>
        <v/>
      </c>
      <c r="H10" s="145"/>
    </row>
    <row r="11" spans="1:8" s="93" customFormat="1" ht="20" x14ac:dyDescent="0.4">
      <c r="A11" s="115" t="s">
        <v>141</v>
      </c>
      <c r="B11" s="112"/>
      <c r="C11" s="112"/>
      <c r="D11" s="112"/>
      <c r="E11" s="112"/>
      <c r="F11" s="110"/>
      <c r="G11" s="148"/>
      <c r="H11" s="146"/>
    </row>
    <row r="12" spans="1:8" s="93" customFormat="1" ht="20" x14ac:dyDescent="0.4">
      <c r="A12" s="112" t="str">
        <f>IF(B12="","",MID(B12,(SEARCH("(",B12)+1),((SEARCH(")",B12)-(SEARCH("(",B12)+1)))))</f>
        <v>E84116-00</v>
      </c>
      <c r="B12" s="112" t="str">
        <f>'COST ESTIMATOR'!A19</f>
        <v>Cleaning Pad, 16" (E84116-00)</v>
      </c>
      <c r="C12" s="112"/>
      <c r="D12" s="112"/>
      <c r="E12" s="112"/>
      <c r="F12" s="113">
        <f>IF('COST ESTIMATOR'!G19="","0",'COST ESTIMATOR'!G19)</f>
        <v>1</v>
      </c>
      <c r="G12" s="148">
        <f>IFERROR(INDEX(CPADS[],MATCH(B12,CPADS[Name and SKU],0),7),"$0.00")</f>
        <v>108.67</v>
      </c>
      <c r="H12" s="147">
        <f>IF('COST ESTIMATOR'!H19="","0",'COST ESTIMATOR'!H19)</f>
        <v>108.67</v>
      </c>
    </row>
    <row r="13" spans="1:8" s="93" customFormat="1" ht="20" x14ac:dyDescent="0.4">
      <c r="A13" s="112" t="str">
        <f>IF(B13="","",MID(B13,(SEARCH("(",B13)+1),((SEARCH(")",B13)-(SEARCH("(",B13)+1)))))</f>
        <v>E84127-00</v>
      </c>
      <c r="B13" s="112" t="str">
        <f>'COST ESTIMATOR'!A20</f>
        <v>Burnishing Pad, 27" (E84127-00)</v>
      </c>
      <c r="C13" s="112"/>
      <c r="D13" s="112"/>
      <c r="E13" s="112"/>
      <c r="F13" s="113">
        <f>IF('COST ESTIMATOR'!G20="","0",'COST ESTIMATOR'!G20)</f>
        <v>1</v>
      </c>
      <c r="G13" s="148" t="str">
        <f>IFERROR(INDEX(BPADS[],MATCH(B13,BPADS[],0),7),"$0.00")</f>
        <v>$0.00</v>
      </c>
      <c r="H13" s="147">
        <f>IF('COST ESTIMATOR'!H20="","0",'COST ESTIMATOR'!H20)</f>
        <v>86.87</v>
      </c>
    </row>
    <row r="14" spans="1:8" s="93" customFormat="1" ht="20" x14ac:dyDescent="0.4">
      <c r="A14" s="112"/>
      <c r="B14" s="112"/>
      <c r="C14" s="112"/>
      <c r="D14" s="112"/>
      <c r="E14" s="112"/>
      <c r="F14" s="110"/>
      <c r="G14" s="148"/>
      <c r="H14" s="146"/>
    </row>
    <row r="15" spans="1:8" s="93" customFormat="1" ht="20" x14ac:dyDescent="0.4">
      <c r="A15" s="115" t="s">
        <v>142</v>
      </c>
      <c r="B15" s="112"/>
      <c r="C15" s="112"/>
      <c r="D15" s="112"/>
      <c r="E15" s="112"/>
      <c r="F15" s="110"/>
      <c r="G15" s="148"/>
      <c r="H15" s="145"/>
    </row>
    <row r="16" spans="1:8" s="93" customFormat="1" ht="20" x14ac:dyDescent="0.4">
      <c r="A16" s="112" t="str">
        <f>IF(B16="","",MID(B16,(SEARCH("(",B16)+1),((SEARCH(")",B16)-(SEARCH("(",B16)+1)))))</f>
        <v>167105-00</v>
      </c>
      <c r="B16" s="112" t="str">
        <f>'COST ESTIMATOR'!A23</f>
        <v>Densifier (167105-00)</v>
      </c>
      <c r="C16" s="112"/>
      <c r="D16" s="112"/>
      <c r="E16" s="112"/>
      <c r="F16" s="113">
        <f>IF('COST ESTIMATOR'!G23="","0",'COST ESTIMATOR'!G23)</f>
        <v>2</v>
      </c>
      <c r="G16" s="148">
        <f>IFERROR(INDEX(PRODUCTS[],MATCH(B16,PRODUCTS[Name and SKU],0),7),"$0.00")</f>
        <v>245.98</v>
      </c>
      <c r="H16" s="147">
        <f>IF('COST ESTIMATOR'!H23="","0",'COST ESTIMATOR'!H23)</f>
        <v>491.96</v>
      </c>
    </row>
    <row r="17" spans="1:14" s="93" customFormat="1" ht="20" x14ac:dyDescent="0.4">
      <c r="A17" s="112" t="str">
        <f>IF(B17="","",MID(B17,(SEARCH("(",B17)+1),((SEARCH(")",B17)-(SEARCH("(",B17)+1)))))</f>
        <v>167005-00</v>
      </c>
      <c r="B17" s="112" t="str">
        <f>'COST ESTIMATOR'!A24</f>
        <v>LiquiGrind (167005-00)</v>
      </c>
      <c r="C17" s="112"/>
      <c r="D17" s="112"/>
      <c r="E17" s="112"/>
      <c r="F17" s="113">
        <f>IF('COST ESTIMATOR'!G24="","0",'COST ESTIMATOR'!G24)</f>
        <v>3</v>
      </c>
      <c r="G17" s="148">
        <f>IFERROR(INDEX(PRODUCTS[],MATCH(B17,PRODUCTS[Name and SKU],0),7),"$0.00")</f>
        <v>421.08</v>
      </c>
      <c r="H17" s="147">
        <f>IF('COST ESTIMATOR'!H24="","0",'COST ESTIMATOR'!H24)</f>
        <v>1263.24</v>
      </c>
    </row>
    <row r="18" spans="1:14" s="93" customFormat="1" ht="20" x14ac:dyDescent="0.4">
      <c r="A18" s="112" t="str">
        <f>IF(B18="","",MID(B18,(SEARCH("(",B18)+1),((SEARCH(")",B18)-(SEARCH("(",B18)+1)))))</f>
        <v>167205-00</v>
      </c>
      <c r="B18" s="112" t="str">
        <f>'COST ESTIMATOR'!A25</f>
        <v>Stain Defense (167205-00)</v>
      </c>
      <c r="C18" s="112"/>
      <c r="D18" s="112"/>
      <c r="E18" s="112"/>
      <c r="F18" s="113">
        <f>IF('COST ESTIMATOR'!G25="","0",'COST ESTIMATOR'!G25)</f>
        <v>1</v>
      </c>
      <c r="G18" s="148">
        <f>IFERROR(INDEX(PRODUCTS[],MATCH(B18,PRODUCTS[Name and SKU],0),7),"$0.00")</f>
        <v>513.78</v>
      </c>
      <c r="H18" s="147">
        <f>IF('COST ESTIMATOR'!H25="","0",'COST ESTIMATOR'!H25)</f>
        <v>513.78</v>
      </c>
    </row>
    <row r="19" spans="1:14" s="93" customFormat="1" ht="20" x14ac:dyDescent="0.4">
      <c r="A19" s="112" t="str">
        <f>IF(B19="","",MID(B19,(SEARCH("(",B19)+1),((SEARCH(")",B19)-(SEARCH("(",B19)+1)))))</f>
        <v/>
      </c>
      <c r="B19" s="112"/>
      <c r="C19" s="112"/>
      <c r="D19" s="112"/>
      <c r="E19" s="112"/>
      <c r="F19" s="110"/>
      <c r="G19" s="148"/>
      <c r="H19" s="146"/>
      <c r="N19" s="93" t="s">
        <v>128</v>
      </c>
    </row>
    <row r="20" spans="1:14" s="93" customFormat="1" ht="20" x14ac:dyDescent="0.35">
      <c r="A20" s="108" t="s">
        <v>143</v>
      </c>
      <c r="B20" s="116"/>
      <c r="C20" s="116"/>
      <c r="D20" s="116"/>
      <c r="E20" s="116"/>
      <c r="F20" s="110"/>
      <c r="G20" s="149"/>
      <c r="H20" s="146"/>
    </row>
    <row r="21" spans="1:14" s="93" customFormat="1" ht="20" x14ac:dyDescent="0.4">
      <c r="A21" s="112" t="str">
        <f t="shared" ref="A21:A29" si="1">IF(B21="","",MID(B21,(SEARCH("(",B21)+1),((SEARCH(")",B21)-(SEARCH("(",B21)+1)))))</f>
        <v>E29805-00</v>
      </c>
      <c r="B21" s="112" t="str">
        <f>'COST ESTIMATOR'!A28</f>
        <v>CM30 (E29805-00)</v>
      </c>
      <c r="C21" s="112"/>
      <c r="D21" s="112"/>
      <c r="E21" s="112"/>
      <c r="F21" s="113">
        <f>IF('COST ESTIMATOR'!G28="","0",'COST ESTIMATOR'!G28)</f>
        <v>0</v>
      </c>
      <c r="G21" s="148">
        <f>IFERROR(INDEX(AUX[],MATCH(B21,AUX[Name and SKU],0),7),"$0.00")</f>
        <v>13930</v>
      </c>
      <c r="H21" s="147">
        <f>IF('COST ESTIMATOR'!H28="","0",'COST ESTIMATOR'!H28)</f>
        <v>0</v>
      </c>
    </row>
    <row r="22" spans="1:14" s="93" customFormat="1" ht="20" x14ac:dyDescent="0.4">
      <c r="A22" s="112" t="str">
        <f t="shared" si="1"/>
        <v>E29810-00</v>
      </c>
      <c r="B22" s="112" t="str">
        <f>'COST ESTIMATOR'!A29</f>
        <v>CP30 (E29810-00)</v>
      </c>
      <c r="C22" s="112"/>
      <c r="D22" s="112"/>
      <c r="E22" s="112"/>
      <c r="F22" s="113">
        <f>IF('COST ESTIMATOR'!G29="","0",'COST ESTIMATOR'!G29)</f>
        <v>0</v>
      </c>
      <c r="G22" s="148">
        <f>IFERROR(INDEX(AUX[],MATCH(B22,AUX[Name and SKU],0),7),"$0.00")</f>
        <v>24995</v>
      </c>
      <c r="H22" s="147">
        <f>IF('COST ESTIMATOR'!H29="","0",'COST ESTIMATOR'!H29)</f>
        <v>0</v>
      </c>
    </row>
    <row r="23" spans="1:14" s="93" customFormat="1" ht="20" x14ac:dyDescent="0.4">
      <c r="A23" s="112" t="str">
        <f t="shared" si="1"/>
        <v>92411-00</v>
      </c>
      <c r="B23" s="112" t="str">
        <f>'COST ESTIMATOR'!A30</f>
        <v>Crete Rx™ Stain Removal Kit (92411-00)</v>
      </c>
      <c r="C23" s="112"/>
      <c r="D23" s="112"/>
      <c r="E23" s="112"/>
      <c r="F23" s="113">
        <f>IF('COST ESTIMATOR'!G30="","0",'COST ESTIMATOR'!G30)</f>
        <v>0</v>
      </c>
      <c r="G23" s="148">
        <f>IFERROR(INDEX(AUX[],MATCH(B23,AUX[Name and SKU],0),7),"$0.00")</f>
        <v>280.48</v>
      </c>
      <c r="H23" s="147">
        <f>IF('COST ESTIMATOR'!H30="","0",'COST ESTIMATOR'!H30)</f>
        <v>0</v>
      </c>
    </row>
    <row r="24" spans="1:14" s="93" customFormat="1" ht="20" x14ac:dyDescent="0.4">
      <c r="A24" s="112" t="str">
        <f t="shared" si="1"/>
        <v>E84143-00</v>
      </c>
      <c r="B24" s="112" t="str">
        <f>'COST ESTIMATOR'!A31</f>
        <v>CRP (E84143-00)</v>
      </c>
      <c r="C24" s="112"/>
      <c r="D24" s="112"/>
      <c r="E24" s="112"/>
      <c r="F24" s="113">
        <f>IF('COST ESTIMATOR'!G31="","0",'COST ESTIMATOR'!G31)</f>
        <v>0</v>
      </c>
      <c r="G24" s="148">
        <f>IFERROR(INDEX(AUX[],MATCH(B24,AUX[Name and SKU],0),7),"$0.00")</f>
        <v>833</v>
      </c>
      <c r="H24" s="147">
        <f>IF('COST ESTIMATOR'!H31="","0",'COST ESTIMATOR'!H31)</f>
        <v>0</v>
      </c>
    </row>
    <row r="25" spans="1:14" s="93" customFormat="1" ht="20" x14ac:dyDescent="0.4">
      <c r="A25" s="112" t="str">
        <f t="shared" si="1"/>
        <v>67912-00</v>
      </c>
      <c r="B25" s="112" t="str">
        <f>'COST ESTIMATOR'!A32</f>
        <v>DensiClean - 12-32 oz. (67912-00)</v>
      </c>
      <c r="C25" s="112"/>
      <c r="D25" s="112"/>
      <c r="E25" s="112"/>
      <c r="F25" s="113">
        <f>IF('COST ESTIMATOR'!G32="","0",'COST ESTIMATOR'!G32)</f>
        <v>1</v>
      </c>
      <c r="G25" s="148">
        <f>IFERROR(INDEX(AUX[],MATCH(B25,AUX[Name and SKU],0),7),"$0.00")</f>
        <v>159.94</v>
      </c>
      <c r="H25" s="147">
        <f>IF('COST ESTIMATOR'!H32="","0",'COST ESTIMATOR'!H32)</f>
        <v>159.94</v>
      </c>
    </row>
    <row r="26" spans="1:14" s="93" customFormat="1" ht="20" x14ac:dyDescent="0.4">
      <c r="A26" s="112" t="str">
        <f t="shared" si="1"/>
        <v>67947-00</v>
      </c>
      <c r="B26" s="112" t="str">
        <f>'COST ESTIMATOR'!A33</f>
        <v>DensiClean - 4 - 2L FastDraw (67947-00)</v>
      </c>
      <c r="C26" s="112"/>
      <c r="D26" s="112"/>
      <c r="E26" s="112"/>
      <c r="F26" s="113">
        <f>IF('COST ESTIMATOR'!G33="","0",'COST ESTIMATOR'!G33)</f>
        <v>0</v>
      </c>
      <c r="G26" s="148">
        <f>IFERROR(INDEX(AUX[],MATCH(B26,AUX[Name and SKU],0),7),"$0.00")</f>
        <v>245.14</v>
      </c>
      <c r="H26" s="147">
        <f>IF('COST ESTIMATOR'!H33="","0",'COST ESTIMATOR'!H33)</f>
        <v>0</v>
      </c>
    </row>
    <row r="27" spans="1:14" s="93" customFormat="1" ht="20" x14ac:dyDescent="0.4">
      <c r="A27" s="112" t="str">
        <f t="shared" si="1"/>
        <v>E84173-00</v>
      </c>
      <c r="B27" s="112" t="str">
        <f>'COST ESTIMATOR'!A34</f>
        <v>Polishing Tool Spacer (E84173-00)</v>
      </c>
      <c r="C27" s="112"/>
      <c r="D27" s="112"/>
      <c r="E27" s="112"/>
      <c r="F27" s="113">
        <f>IF('COST ESTIMATOR'!G34="","0",'COST ESTIMATOR'!G34)</f>
        <v>0</v>
      </c>
      <c r="G27" s="148">
        <f>IFERROR(INDEX(AUX[],MATCH(B27,AUX[Name and SKU],0),7),"$0.00")</f>
        <v>12.92</v>
      </c>
      <c r="H27" s="147">
        <f>IF('COST ESTIMATOR'!H34="","0",'COST ESTIMATOR'!H34)</f>
        <v>0</v>
      </c>
    </row>
    <row r="28" spans="1:14" s="93" customFormat="1" ht="20" x14ac:dyDescent="0.4">
      <c r="A28" s="112" t="str">
        <f t="shared" si="1"/>
        <v>E80001-00</v>
      </c>
      <c r="B28" s="112" t="str">
        <f>'COST ESTIMATOR'!A35</f>
        <v>TAP (E80001-00)</v>
      </c>
      <c r="C28" s="112"/>
      <c r="D28" s="112"/>
      <c r="E28" s="112"/>
      <c r="F28" s="113">
        <f>IF('COST ESTIMATOR'!G35="","0",'COST ESTIMATOR'!G35)</f>
        <v>0</v>
      </c>
      <c r="G28" s="148">
        <f>IFERROR(INDEX(AUX[],MATCH(B28,AUX[Name and SKU],0),7),"$0.00")</f>
        <v>164.27</v>
      </c>
      <c r="H28" s="147">
        <f>IF('COST ESTIMATOR'!H35="","0",'COST ESTIMATOR'!H35)</f>
        <v>0</v>
      </c>
    </row>
    <row r="29" spans="1:14" s="93" customFormat="1" ht="20" x14ac:dyDescent="0.4">
      <c r="A29" s="112" t="str">
        <f t="shared" si="1"/>
        <v>E84144-00</v>
      </c>
      <c r="B29" s="112" t="str">
        <f>'COST ESTIMATOR'!A36</f>
        <v>Velcro Disk Replacement Kit (E84144-00)</v>
      </c>
      <c r="C29" s="112"/>
      <c r="D29" s="112"/>
      <c r="E29" s="112"/>
      <c r="F29" s="113">
        <f>IF('COST ESTIMATOR'!G36="","0",'COST ESTIMATOR'!G36)</f>
        <v>0</v>
      </c>
      <c r="G29" s="148">
        <f>IFERROR(INDEX(AUX[],MATCH(B29,AUX[Name and SKU],0),7),"$0.00")</f>
        <v>4.5</v>
      </c>
      <c r="H29" s="147">
        <f>IF('COST ESTIMATOR'!H36="","0",'COST ESTIMATOR'!H36)</f>
        <v>0</v>
      </c>
    </row>
    <row r="30" spans="1:14" s="93" customFormat="1" ht="20" x14ac:dyDescent="0.4">
      <c r="A30" s="117"/>
      <c r="B30" s="118"/>
      <c r="C30" s="118"/>
      <c r="D30" s="118"/>
      <c r="E30" s="118"/>
      <c r="F30" s="119"/>
      <c r="G30" s="148"/>
      <c r="H30" s="145"/>
    </row>
    <row r="31" spans="1:14" s="93" customFormat="1" ht="20" x14ac:dyDescent="0.4">
      <c r="A31" s="117"/>
      <c r="B31" s="120"/>
      <c r="C31" s="120"/>
      <c r="D31" s="120"/>
      <c r="E31" s="120"/>
      <c r="F31" s="120"/>
      <c r="G31" s="150" t="s">
        <v>144</v>
      </c>
      <c r="H31" s="147">
        <f>IF('COST ESTIMATOR'!H38="","0",'COST ESTIMATOR'!H38)</f>
        <v>7295.98</v>
      </c>
    </row>
  </sheetData>
  <sheetProtection sheet="1" objects="1" scenarios="1" selectLockedCells="1"/>
  <mergeCells count="1">
    <mergeCell ref="A1:H1"/>
  </mergeCells>
  <printOptions horizontalCentered="1"/>
  <pageMargins left="0.5" right="0.5" top="1.22727272727273" bottom="0.5" header="0.55000000000000004" footer="0.3"/>
  <pageSetup scale="42" orientation="portrait" r:id="rId1"/>
  <headerFooter>
    <oddHeader>&amp;L&amp;G&amp;C&amp;"Arial,Bold"&amp;26Order Form</oddHeader>
    <oddFooter>&amp;CPage &amp;P of &amp;N&amp;R&amp;G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57"/>
  <sheetViews>
    <sheetView workbookViewId="0">
      <selection activeCell="E15" sqref="E15"/>
    </sheetView>
  </sheetViews>
  <sheetFormatPr defaultColWidth="9.1796875" defaultRowHeight="14.5" x14ac:dyDescent="0.35"/>
  <cols>
    <col min="1" max="1" width="42.453125" style="1" bestFit="1" customWidth="1"/>
    <col min="2" max="2" width="13.1796875" style="1" customWidth="1"/>
    <col min="3" max="3" width="14.453125" style="63" bestFit="1" customWidth="1"/>
    <col min="4" max="4" width="13.7265625" style="1" customWidth="1"/>
    <col min="5" max="5" width="10" style="1" customWidth="1"/>
    <col min="6" max="6" width="1.7265625" style="1" customWidth="1"/>
    <col min="7" max="7" width="39.7265625" style="1" bestFit="1" customWidth="1"/>
    <col min="8" max="8" width="9.26953125" style="1" bestFit="1" customWidth="1"/>
    <col min="9" max="11" width="9.1796875" style="1"/>
    <col min="12" max="12" width="11.7265625" style="1" bestFit="1" customWidth="1"/>
    <col min="13" max="16384" width="9.1796875" style="1"/>
  </cols>
  <sheetData>
    <row r="1" spans="1:13" x14ac:dyDescent="0.35">
      <c r="A1" s="65"/>
      <c r="B1" s="66"/>
      <c r="C1" s="67"/>
      <c r="D1" s="66"/>
      <c r="E1" s="66"/>
      <c r="F1" s="66"/>
      <c r="G1" s="66"/>
      <c r="H1" s="68"/>
    </row>
    <row r="2" spans="1:13" ht="75.75" customHeight="1" thickBot="1" x14ac:dyDescent="0.4">
      <c r="A2" s="69"/>
      <c r="B2" s="70"/>
      <c r="C2" s="71"/>
      <c r="D2" s="70"/>
      <c r="E2" s="70"/>
      <c r="F2" s="70"/>
      <c r="G2" s="70"/>
      <c r="H2" s="72"/>
    </row>
    <row r="3" spans="1:13" ht="45" customHeight="1" thickBot="1" x14ac:dyDescent="0.4">
      <c r="A3" s="313" t="s">
        <v>81</v>
      </c>
      <c r="B3" s="314"/>
      <c r="C3" s="314"/>
      <c r="D3" s="314"/>
      <c r="E3" s="314"/>
      <c r="F3" s="2"/>
      <c r="G3" s="73"/>
      <c r="H3" s="74"/>
    </row>
    <row r="4" spans="1:13" ht="33" customHeight="1" thickBot="1" x14ac:dyDescent="0.4">
      <c r="A4" s="77"/>
      <c r="B4" s="78"/>
      <c r="C4" s="78"/>
      <c r="D4" s="79"/>
      <c r="E4" s="75"/>
      <c r="F4" s="80"/>
      <c r="G4" s="75"/>
      <c r="H4" s="76"/>
      <c r="I4" s="5"/>
      <c r="J4" s="6"/>
      <c r="K4" s="6"/>
      <c r="L4" s="6"/>
      <c r="M4" s="6"/>
    </row>
    <row r="5" spans="1:13" ht="28.5" thickBot="1" x14ac:dyDescent="0.4">
      <c r="A5" s="7" t="s">
        <v>82</v>
      </c>
      <c r="B5" s="8" t="s">
        <v>83</v>
      </c>
      <c r="C5" s="8" t="s">
        <v>84</v>
      </c>
      <c r="D5" s="8" t="s">
        <v>85</v>
      </c>
      <c r="E5" s="9" t="s">
        <v>86</v>
      </c>
      <c r="F5" s="81"/>
      <c r="G5" s="315" t="s">
        <v>87</v>
      </c>
      <c r="H5" s="316"/>
      <c r="I5" s="5"/>
      <c r="J5" s="6"/>
      <c r="K5" s="6"/>
      <c r="L5" s="6"/>
      <c r="M5" s="6"/>
    </row>
    <row r="6" spans="1:13" ht="15" thickBot="1" x14ac:dyDescent="0.4">
      <c r="A6" s="10" t="s">
        <v>88</v>
      </c>
      <c r="B6" s="11">
        <f>H17</f>
        <v>51.75</v>
      </c>
      <c r="C6" s="12">
        <f>H6/H12</f>
        <v>5.859375E-2</v>
      </c>
      <c r="D6" s="13">
        <f>(C6*B6)/$H$6</f>
        <v>2.0214843749999999E-4</v>
      </c>
      <c r="E6" s="14">
        <f>C6*B6</f>
        <v>3.0322265625</v>
      </c>
      <c r="F6" s="81"/>
      <c r="G6" s="15" t="s">
        <v>89</v>
      </c>
      <c r="H6" s="16">
        <v>15000</v>
      </c>
      <c r="I6" s="5"/>
      <c r="J6" s="6"/>
      <c r="K6" s="6"/>
      <c r="L6" s="6"/>
      <c r="M6" s="6"/>
    </row>
    <row r="7" spans="1:13" ht="15" thickBot="1" x14ac:dyDescent="0.4">
      <c r="A7" s="17" t="s">
        <v>90</v>
      </c>
      <c r="B7" s="18">
        <f>H18</f>
        <v>27.14</v>
      </c>
      <c r="C7" s="19">
        <f>(H6/H13)*H10</f>
        <v>0.06</v>
      </c>
      <c r="D7" s="20">
        <f>(C7*B7)/$H$6</f>
        <v>1.0856E-4</v>
      </c>
      <c r="E7" s="21">
        <f>C7*B7</f>
        <v>1.6284000000000001</v>
      </c>
      <c r="F7" s="81"/>
      <c r="G7" s="15" t="s">
        <v>91</v>
      </c>
      <c r="H7" s="16">
        <v>20000</v>
      </c>
      <c r="I7" s="5"/>
      <c r="J7" s="6"/>
      <c r="K7" s="6"/>
      <c r="L7" s="6"/>
      <c r="M7" s="6"/>
    </row>
    <row r="8" spans="1:13" ht="15" thickBot="1" x14ac:dyDescent="0.4">
      <c r="A8" s="22" t="s">
        <v>92</v>
      </c>
      <c r="B8" s="23">
        <f>H19</f>
        <v>43.34</v>
      </c>
      <c r="C8" s="24">
        <f>H6/H13</f>
        <v>0.06</v>
      </c>
      <c r="D8" s="25">
        <f>(C8*B8)/$H$6</f>
        <v>1.7336000000000001E-4</v>
      </c>
      <c r="E8" s="26">
        <f>C8*B8</f>
        <v>2.6004</v>
      </c>
      <c r="F8" s="81"/>
      <c r="G8" s="15" t="s">
        <v>93</v>
      </c>
      <c r="H8" s="27">
        <v>10.5</v>
      </c>
      <c r="I8" s="5"/>
      <c r="J8" s="6"/>
      <c r="K8" s="6"/>
      <c r="L8" s="6"/>
      <c r="M8" s="6"/>
    </row>
    <row r="9" spans="1:13" ht="15" thickBot="1" x14ac:dyDescent="0.4">
      <c r="A9" s="17"/>
      <c r="B9" s="28"/>
      <c r="C9" s="19"/>
      <c r="D9" s="29"/>
      <c r="E9" s="30"/>
      <c r="F9" s="81"/>
      <c r="G9" s="15" t="s">
        <v>94</v>
      </c>
      <c r="H9" s="31">
        <v>25000</v>
      </c>
      <c r="I9" s="5"/>
      <c r="J9" s="6"/>
      <c r="K9" s="6"/>
      <c r="L9" s="6"/>
      <c r="M9" s="6"/>
    </row>
    <row r="10" spans="1:13" ht="15" customHeight="1" thickBot="1" x14ac:dyDescent="0.4">
      <c r="A10" s="3"/>
      <c r="B10" s="317" t="s">
        <v>95</v>
      </c>
      <c r="C10" s="318"/>
      <c r="D10" s="32">
        <f>SUM(D6:D8)</f>
        <v>4.8406843750000003E-4</v>
      </c>
      <c r="E10" s="33"/>
      <c r="F10" s="81"/>
      <c r="G10" s="34" t="s">
        <v>96</v>
      </c>
      <c r="H10" s="31">
        <v>1</v>
      </c>
      <c r="I10" s="5"/>
      <c r="J10" s="6"/>
      <c r="K10" s="6"/>
      <c r="L10" s="6"/>
      <c r="M10" s="6"/>
    </row>
    <row r="11" spans="1:13" ht="15" customHeight="1" thickBot="1" x14ac:dyDescent="0.4">
      <c r="A11" s="3"/>
      <c r="B11" s="311" t="s">
        <v>97</v>
      </c>
      <c r="C11" s="312"/>
      <c r="D11" s="35">
        <f>SUM(E6:E8)</f>
        <v>7.2610265624999997</v>
      </c>
      <c r="E11" s="36"/>
      <c r="F11" s="81"/>
      <c r="G11" s="319" t="s">
        <v>98</v>
      </c>
      <c r="H11" s="320"/>
      <c r="J11" s="6"/>
      <c r="K11" s="6"/>
      <c r="L11" s="6"/>
      <c r="M11" s="6"/>
    </row>
    <row r="12" spans="1:13" ht="15" customHeight="1" x14ac:dyDescent="0.35">
      <c r="A12" s="3"/>
      <c r="B12" s="321"/>
      <c r="C12" s="322"/>
      <c r="D12" s="323"/>
      <c r="E12" s="36"/>
      <c r="F12" s="75"/>
      <c r="G12" s="37" t="s">
        <v>88</v>
      </c>
      <c r="H12" s="38">
        <v>256000</v>
      </c>
      <c r="I12" s="5"/>
      <c r="J12" s="6"/>
      <c r="K12" s="6"/>
      <c r="L12" s="6"/>
      <c r="M12" s="6"/>
    </row>
    <row r="13" spans="1:13" ht="18" customHeight="1" x14ac:dyDescent="0.35">
      <c r="A13" s="3"/>
      <c r="B13" s="311" t="s">
        <v>99</v>
      </c>
      <c r="C13" s="312"/>
      <c r="D13" s="39">
        <f>((D6+D7)*H14)+(D8*H15)</f>
        <v>1.4161937500000001E-3</v>
      </c>
      <c r="E13" s="40"/>
      <c r="F13" s="75"/>
      <c r="G13" s="41" t="s">
        <v>100</v>
      </c>
      <c r="H13" s="42">
        <v>250000</v>
      </c>
      <c r="I13" s="5"/>
      <c r="J13" s="6"/>
      <c r="K13" s="6"/>
      <c r="L13" s="6"/>
      <c r="M13" s="6"/>
    </row>
    <row r="14" spans="1:13" ht="17.25" customHeight="1" x14ac:dyDescent="0.35">
      <c r="A14" s="3"/>
      <c r="B14" s="311" t="s">
        <v>101</v>
      </c>
      <c r="C14" s="312"/>
      <c r="D14" s="35">
        <f>((E6+E7)*H14)+(E8*H15)</f>
        <v>21.242906250000001</v>
      </c>
      <c r="E14" s="40"/>
      <c r="F14" s="75"/>
      <c r="G14" s="41" t="s">
        <v>102</v>
      </c>
      <c r="H14" s="43">
        <v>4</v>
      </c>
      <c r="I14" s="5"/>
      <c r="L14" s="6"/>
      <c r="M14" s="6"/>
    </row>
    <row r="15" spans="1:13" x14ac:dyDescent="0.35">
      <c r="A15" s="3"/>
      <c r="B15" s="321"/>
      <c r="C15" s="322"/>
      <c r="D15" s="323"/>
      <c r="E15" s="40"/>
      <c r="F15" s="75"/>
      <c r="G15" s="41" t="s">
        <v>103</v>
      </c>
      <c r="H15" s="43">
        <v>1</v>
      </c>
      <c r="I15" s="5"/>
      <c r="L15" s="6"/>
      <c r="M15" s="6"/>
    </row>
    <row r="16" spans="1:13" ht="18.75" customHeight="1" thickBot="1" x14ac:dyDescent="0.4">
      <c r="A16" s="3"/>
      <c r="B16" s="324" t="s">
        <v>104</v>
      </c>
      <c r="C16" s="325"/>
      <c r="D16" s="44">
        <f>D13*52</f>
        <v>7.3642075000000001E-2</v>
      </c>
      <c r="E16" s="36"/>
      <c r="F16" s="75"/>
      <c r="G16" s="326" t="s">
        <v>105</v>
      </c>
      <c r="H16" s="327"/>
      <c r="I16" s="5"/>
      <c r="L16" s="6"/>
      <c r="M16" s="6"/>
    </row>
    <row r="17" spans="1:13" x14ac:dyDescent="0.35">
      <c r="A17" s="3"/>
      <c r="B17" s="311" t="s">
        <v>106</v>
      </c>
      <c r="C17" s="312"/>
      <c r="D17" s="35">
        <f>D14*52</f>
        <v>1104.6311250000001</v>
      </c>
      <c r="E17" s="45"/>
      <c r="F17" s="75"/>
      <c r="G17" s="46" t="s">
        <v>107</v>
      </c>
      <c r="H17" s="47">
        <v>51.75</v>
      </c>
      <c r="I17" s="5"/>
      <c r="L17" s="6"/>
      <c r="M17" s="6"/>
    </row>
    <row r="18" spans="1:13" ht="15" customHeight="1" x14ac:dyDescent="0.35">
      <c r="A18" s="3"/>
      <c r="B18" s="321"/>
      <c r="C18" s="322"/>
      <c r="D18" s="323"/>
      <c r="E18" s="45"/>
      <c r="F18" s="75"/>
      <c r="G18" s="48" t="s">
        <v>108</v>
      </c>
      <c r="H18" s="49">
        <v>27.14</v>
      </c>
      <c r="I18" s="5"/>
      <c r="L18" s="6"/>
      <c r="M18" s="6"/>
    </row>
    <row r="19" spans="1:13" ht="15" customHeight="1" thickBot="1" x14ac:dyDescent="0.4">
      <c r="A19" s="3"/>
      <c r="B19" s="330" t="s">
        <v>109</v>
      </c>
      <c r="C19" s="331"/>
      <c r="D19" s="332">
        <f>(H6*H14)/H7</f>
        <v>3</v>
      </c>
      <c r="E19" s="45"/>
      <c r="F19" s="75"/>
      <c r="G19" s="48" t="s">
        <v>110</v>
      </c>
      <c r="H19" s="49">
        <v>43.34</v>
      </c>
      <c r="I19" s="5"/>
      <c r="J19" s="6"/>
      <c r="K19" s="6"/>
      <c r="L19" s="6"/>
      <c r="M19" s="6"/>
    </row>
    <row r="20" spans="1:13" ht="14.25" customHeight="1" x14ac:dyDescent="0.35">
      <c r="A20" s="3"/>
      <c r="B20" s="330"/>
      <c r="C20" s="331"/>
      <c r="D20" s="332"/>
      <c r="E20" s="50" t="s">
        <v>111</v>
      </c>
      <c r="F20" s="75"/>
      <c r="G20" s="82"/>
      <c r="H20" s="83"/>
      <c r="I20" s="5"/>
      <c r="K20" s="6"/>
      <c r="L20" s="6"/>
      <c r="M20" s="6"/>
    </row>
    <row r="21" spans="1:13" x14ac:dyDescent="0.35">
      <c r="A21" s="3"/>
      <c r="B21" s="311" t="s">
        <v>112</v>
      </c>
      <c r="C21" s="312"/>
      <c r="D21" s="51">
        <f>(H6*H14)/H12</f>
        <v>0.234375</v>
      </c>
      <c r="E21" s="52">
        <f>D21*52</f>
        <v>12.1875</v>
      </c>
      <c r="F21" s="75"/>
      <c r="G21" s="84"/>
      <c r="H21" s="85"/>
      <c r="I21" s="6"/>
      <c r="J21" s="6"/>
      <c r="K21" s="6"/>
    </row>
    <row r="22" spans="1:13" ht="15" customHeight="1" x14ac:dyDescent="0.35">
      <c r="A22" s="3"/>
      <c r="B22" s="311" t="s">
        <v>113</v>
      </c>
      <c r="C22" s="312"/>
      <c r="D22" s="51">
        <f>((H6*H14)*H10)/H13</f>
        <v>0.24</v>
      </c>
      <c r="E22" s="52">
        <f>D22*52</f>
        <v>12.48</v>
      </c>
      <c r="F22" s="75"/>
      <c r="G22" s="75"/>
      <c r="H22" s="76"/>
      <c r="I22" s="6"/>
      <c r="J22" s="6"/>
      <c r="K22" s="6"/>
    </row>
    <row r="23" spans="1:13" x14ac:dyDescent="0.35">
      <c r="A23" s="3"/>
      <c r="B23" s="333" t="s">
        <v>114</v>
      </c>
      <c r="C23" s="334"/>
      <c r="D23" s="51">
        <f>(H6*H15)/H13</f>
        <v>0.06</v>
      </c>
      <c r="E23" s="52">
        <f>D23*52</f>
        <v>3.12</v>
      </c>
      <c r="F23" s="75"/>
      <c r="G23" s="75"/>
      <c r="H23" s="76"/>
      <c r="I23" s="6"/>
      <c r="J23" s="6"/>
      <c r="K23" s="6"/>
    </row>
    <row r="24" spans="1:13" x14ac:dyDescent="0.35">
      <c r="A24" s="3"/>
      <c r="B24" s="311" t="s">
        <v>115</v>
      </c>
      <c r="C24" s="312"/>
      <c r="D24" s="53">
        <f>H8*0.5</f>
        <v>5.25</v>
      </c>
      <c r="E24" s="45"/>
      <c r="F24" s="75"/>
      <c r="G24" s="75"/>
      <c r="H24" s="76"/>
      <c r="I24" s="6"/>
      <c r="J24" s="6"/>
      <c r="K24" s="6"/>
    </row>
    <row r="25" spans="1:13" ht="15" thickBot="1" x14ac:dyDescent="0.4">
      <c r="A25" s="3"/>
      <c r="B25" s="328" t="s">
        <v>116</v>
      </c>
      <c r="C25" s="329"/>
      <c r="D25" s="54">
        <f>H6/(H8*1500)</f>
        <v>0.95238095238095233</v>
      </c>
      <c r="E25" s="45"/>
      <c r="F25" s="75"/>
      <c r="G25" s="75"/>
      <c r="H25" s="76"/>
      <c r="I25" s="6"/>
      <c r="J25" s="6"/>
      <c r="K25" s="6"/>
    </row>
    <row r="26" spans="1:13" ht="15" customHeight="1" thickBot="1" x14ac:dyDescent="0.4">
      <c r="A26" s="55"/>
      <c r="B26" s="56"/>
      <c r="C26" s="56"/>
      <c r="D26" s="57"/>
      <c r="E26" s="58"/>
      <c r="F26" s="75"/>
      <c r="G26" s="75"/>
      <c r="H26" s="76"/>
    </row>
    <row r="27" spans="1:13" ht="15.75" customHeight="1" x14ac:dyDescent="0.35">
      <c r="A27" s="77"/>
      <c r="B27" s="86"/>
      <c r="C27" s="86"/>
      <c r="D27" s="87"/>
      <c r="E27" s="88"/>
      <c r="F27" s="75"/>
      <c r="G27" s="75"/>
      <c r="H27" s="76"/>
    </row>
    <row r="28" spans="1:13" ht="15.75" customHeight="1" x14ac:dyDescent="0.35">
      <c r="A28" s="77"/>
      <c r="B28" s="86"/>
      <c r="C28" s="86"/>
      <c r="D28" s="87"/>
      <c r="E28" s="88"/>
      <c r="F28" s="75"/>
      <c r="G28" s="75"/>
      <c r="H28" s="76"/>
      <c r="J28" s="59"/>
      <c r="K28" s="59"/>
      <c r="L28" s="59"/>
    </row>
    <row r="29" spans="1:13" ht="15.75" customHeight="1" x14ac:dyDescent="0.35">
      <c r="A29" s="89"/>
      <c r="B29" s="90"/>
      <c r="C29" s="90"/>
      <c r="D29" s="91"/>
      <c r="E29" s="92"/>
      <c r="F29" s="4"/>
      <c r="G29" s="75"/>
      <c r="H29" s="76"/>
      <c r="J29" s="59"/>
      <c r="K29" s="59"/>
      <c r="L29" s="59"/>
    </row>
    <row r="30" spans="1:13" ht="15.75" customHeight="1" thickBot="1" x14ac:dyDescent="0.4">
      <c r="A30" s="60"/>
      <c r="B30" s="61"/>
      <c r="C30" s="61"/>
      <c r="D30" s="61"/>
      <c r="E30" s="61"/>
      <c r="F30" s="61"/>
      <c r="G30" s="61"/>
      <c r="H30" s="62"/>
    </row>
    <row r="31" spans="1:13" ht="19.5" customHeight="1" x14ac:dyDescent="0.35"/>
    <row r="32" spans="1:13" ht="19.5" customHeight="1" x14ac:dyDescent="0.35"/>
    <row r="33" spans="9:9" ht="19.5" customHeight="1" x14ac:dyDescent="0.35"/>
    <row r="34" spans="9:9" ht="19.5" customHeight="1" x14ac:dyDescent="0.35">
      <c r="I34" s="64"/>
    </row>
    <row r="36" spans="9:9" ht="20.25" customHeight="1" x14ac:dyDescent="0.35"/>
    <row r="37" spans="9:9" ht="15.75" customHeight="1" x14ac:dyDescent="0.35"/>
    <row r="38" spans="9:9" ht="15" customHeight="1" x14ac:dyDescent="0.35"/>
    <row r="39" spans="9:9" ht="15" customHeight="1" x14ac:dyDescent="0.35"/>
    <row r="40" spans="9:9" ht="15" customHeight="1" x14ac:dyDescent="0.35"/>
    <row r="41" spans="9:9" ht="26.25" customHeight="1" x14ac:dyDescent="0.35"/>
    <row r="42" spans="9:9" ht="26.25" customHeight="1" x14ac:dyDescent="0.35"/>
    <row r="43" spans="9:9" ht="15" customHeight="1" x14ac:dyDescent="0.35"/>
    <row r="53" ht="26.25" customHeight="1" x14ac:dyDescent="0.35"/>
    <row r="54" ht="26.25" customHeight="1" x14ac:dyDescent="0.35"/>
    <row r="55" ht="26.25" customHeight="1" x14ac:dyDescent="0.35"/>
    <row r="56" ht="18" customHeight="1" x14ac:dyDescent="0.35"/>
    <row r="57" ht="18" customHeight="1" x14ac:dyDescent="0.35"/>
  </sheetData>
  <mergeCells count="20">
    <mergeCell ref="B24:C24"/>
    <mergeCell ref="B25:C25"/>
    <mergeCell ref="B18:D18"/>
    <mergeCell ref="B19:C20"/>
    <mergeCell ref="D19:D20"/>
    <mergeCell ref="B21:C21"/>
    <mergeCell ref="B22:C22"/>
    <mergeCell ref="B23:C23"/>
    <mergeCell ref="B17:C17"/>
    <mergeCell ref="A3:E3"/>
    <mergeCell ref="G5:H5"/>
    <mergeCell ref="B10:C10"/>
    <mergeCell ref="B11:C11"/>
    <mergeCell ref="G11:H11"/>
    <mergeCell ref="B12:D12"/>
    <mergeCell ref="B13:C13"/>
    <mergeCell ref="B14:C14"/>
    <mergeCell ref="B15:D15"/>
    <mergeCell ref="B16:C16"/>
    <mergeCell ref="G16:H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51"/>
  <sheetViews>
    <sheetView zoomScale="70" zoomScaleNormal="70" workbookViewId="0">
      <selection activeCell="U43" sqref="U43"/>
    </sheetView>
  </sheetViews>
  <sheetFormatPr defaultColWidth="9.1796875" defaultRowHeight="15.5" x14ac:dyDescent="0.35"/>
  <cols>
    <col min="1" max="1" width="13.26953125" style="122" customWidth="1"/>
    <col min="2" max="2" width="36" style="121" customWidth="1"/>
    <col min="3" max="3" width="26.453125" style="121" customWidth="1"/>
    <col min="4" max="4" width="12.54296875" style="121" customWidth="1"/>
    <col min="5" max="5" width="18.1796875" style="121" customWidth="1"/>
    <col min="6" max="6" width="8.453125" style="132" bestFit="1" customWidth="1"/>
    <col min="7" max="7" width="13" style="121" customWidth="1"/>
    <col min="8" max="8" width="18.7265625" style="121" customWidth="1"/>
    <col min="9" max="9" width="21.26953125" style="121" customWidth="1"/>
    <col min="10" max="10" width="34.81640625" style="121" customWidth="1"/>
    <col min="11" max="11" width="12.1796875" style="122" customWidth="1"/>
    <col min="12" max="12" width="31.81640625" style="122" customWidth="1"/>
    <col min="13" max="13" width="31.26953125" style="122" customWidth="1"/>
    <col min="14" max="14" width="3.54296875" style="121" customWidth="1"/>
    <col min="15" max="15" width="22.81640625" style="129" customWidth="1"/>
    <col min="16" max="16" width="3.54296875" style="121" customWidth="1"/>
    <col min="17" max="17" width="26.54296875" style="121" customWidth="1"/>
    <col min="18" max="18" width="9.54296875" style="121" customWidth="1"/>
    <col min="19" max="19" width="13.453125" style="121" customWidth="1"/>
    <col min="20" max="20" width="8.7265625" style="121" customWidth="1"/>
    <col min="21" max="21" width="43.81640625" style="121" customWidth="1"/>
    <col min="22" max="22" width="9.1796875" style="121"/>
    <col min="23" max="23" width="19" style="156" customWidth="1"/>
    <col min="24" max="24" width="18.7265625" style="156" bestFit="1" customWidth="1"/>
    <col min="25" max="25" width="12.81640625" style="156" customWidth="1"/>
    <col min="26" max="26" width="12.54296875" style="156" customWidth="1"/>
    <col min="27" max="27" width="19.26953125" customWidth="1"/>
    <col min="28" max="28" width="15.26953125" style="156" customWidth="1"/>
    <col min="29" max="29" width="15" style="156" bestFit="1" customWidth="1"/>
    <col min="30" max="16384" width="9.1796875" style="121"/>
  </cols>
  <sheetData>
    <row r="1" spans="1:29" s="171" customFormat="1" ht="65.25" customHeight="1" x14ac:dyDescent="0.35">
      <c r="A1" s="200" t="s">
        <v>131</v>
      </c>
      <c r="B1" s="200" t="s">
        <v>72</v>
      </c>
      <c r="C1" s="200" t="s">
        <v>31</v>
      </c>
      <c r="D1" s="200" t="s">
        <v>25</v>
      </c>
      <c r="E1" s="200" t="s">
        <v>64</v>
      </c>
      <c r="F1" s="200" t="s">
        <v>19</v>
      </c>
      <c r="G1" s="201" t="s">
        <v>24</v>
      </c>
      <c r="H1" s="202" t="s">
        <v>118</v>
      </c>
      <c r="I1" s="200" t="s">
        <v>121</v>
      </c>
      <c r="J1" s="200" t="s">
        <v>66</v>
      </c>
      <c r="K1" s="200" t="s">
        <v>80</v>
      </c>
      <c r="L1" s="200" t="s">
        <v>305</v>
      </c>
      <c r="M1" s="200" t="s">
        <v>157</v>
      </c>
      <c r="O1" s="172" t="s">
        <v>298</v>
      </c>
      <c r="Q1" s="200" t="s">
        <v>78</v>
      </c>
      <c r="R1" s="200" t="s">
        <v>74</v>
      </c>
      <c r="S1" s="200" t="s">
        <v>73</v>
      </c>
      <c r="T1" s="200" t="s">
        <v>79</v>
      </c>
      <c r="U1" s="200" t="s">
        <v>77</v>
      </c>
      <c r="W1" s="212" t="s">
        <v>281</v>
      </c>
      <c r="X1" s="212" t="s">
        <v>168</v>
      </c>
      <c r="Y1" s="212" t="s">
        <v>169</v>
      </c>
      <c r="Z1" s="212" t="s">
        <v>170</v>
      </c>
      <c r="AA1" s="212" t="s">
        <v>171</v>
      </c>
      <c r="AB1" s="212" t="s">
        <v>172</v>
      </c>
      <c r="AC1" s="212" t="s">
        <v>173</v>
      </c>
    </row>
    <row r="2" spans="1:29" x14ac:dyDescent="0.35">
      <c r="A2" s="179">
        <v>1</v>
      </c>
      <c r="B2" s="177" t="s">
        <v>153</v>
      </c>
      <c r="C2" s="178"/>
      <c r="D2" s="178"/>
      <c r="E2" s="179"/>
      <c r="F2" s="178"/>
      <c r="G2" s="180"/>
      <c r="H2" s="181"/>
      <c r="I2" s="181"/>
      <c r="J2" s="179"/>
      <c r="K2" s="179"/>
      <c r="L2" s="182"/>
      <c r="M2" s="198"/>
      <c r="O2" s="170" t="s">
        <v>31</v>
      </c>
      <c r="Q2" s="196" t="str">
        <f>DATA!$S2&amp;DATA!$T2&amp;DATA!$R2</f>
        <v>Reset MaintenanceA1</v>
      </c>
      <c r="R2" s="196">
        <f>COUNTIFS($S$2:S2,DATA!$S2,$T$2:T2,DATA!$T2)</f>
        <v>1</v>
      </c>
      <c r="S2" s="178" t="s">
        <v>69</v>
      </c>
      <c r="T2" s="178" t="s">
        <v>130</v>
      </c>
      <c r="U2" s="178" t="s">
        <v>297</v>
      </c>
      <c r="W2" s="192" t="s">
        <v>174</v>
      </c>
      <c r="X2" s="192"/>
      <c r="Y2" s="192"/>
      <c r="Z2" s="193"/>
      <c r="AA2" s="192">
        <v>0</v>
      </c>
      <c r="AB2" s="192">
        <v>0</v>
      </c>
      <c r="AC2" s="192"/>
    </row>
    <row r="3" spans="1:29" x14ac:dyDescent="0.35">
      <c r="A3" s="125">
        <v>2</v>
      </c>
      <c r="B3" s="124" t="str">
        <f>CONCATENATE(C3," ","(",D3,")")</f>
        <v>Tool Holder (E84130-00)</v>
      </c>
      <c r="C3" s="124" t="s">
        <v>7</v>
      </c>
      <c r="D3" s="124" t="s">
        <v>35</v>
      </c>
      <c r="E3" s="125">
        <v>3</v>
      </c>
      <c r="F3" s="124" t="s">
        <v>20</v>
      </c>
      <c r="G3" s="126">
        <v>63.88</v>
      </c>
      <c r="H3" s="183">
        <v>150000</v>
      </c>
      <c r="I3" s="183">
        <f>IF(H3="UNK","",E3*H3)</f>
        <v>450000</v>
      </c>
      <c r="J3" s="125">
        <v>4</v>
      </c>
      <c r="K3" s="125" t="str">
        <f>CONCATENATE(F3,"(s)")</f>
        <v>case(s)</v>
      </c>
      <c r="L3" s="184" t="s">
        <v>65</v>
      </c>
      <c r="M3" s="199" t="str">
        <f>IF(L3="N/A","N/A",(L3*0.333))</f>
        <v>N/A</v>
      </c>
      <c r="O3" s="123">
        <v>43383</v>
      </c>
      <c r="Q3" s="197" t="str">
        <f>DATA!$S3&amp;DATA!$T3&amp;DATA!$R3</f>
        <v>Reset MaintenanceA2</v>
      </c>
      <c r="R3" s="197">
        <f>COUNTIFS($S$2:S3,DATA!$S3,$T$2:T3,DATA!$T3)</f>
        <v>2</v>
      </c>
      <c r="S3" s="124" t="s">
        <v>69</v>
      </c>
      <c r="T3" s="124" t="s">
        <v>130</v>
      </c>
      <c r="U3" s="124" t="s">
        <v>300</v>
      </c>
      <c r="W3" s="194" t="s">
        <v>175</v>
      </c>
      <c r="X3" s="194" t="s">
        <v>176</v>
      </c>
      <c r="Y3" s="194">
        <v>250</v>
      </c>
      <c r="Z3" s="195">
        <v>0.25</v>
      </c>
      <c r="AA3" s="194">
        <v>310</v>
      </c>
      <c r="AB3" s="194">
        <v>620</v>
      </c>
      <c r="AC3" s="194" t="s">
        <v>177</v>
      </c>
    </row>
    <row r="4" spans="1:29" x14ac:dyDescent="0.35">
      <c r="A4" s="179">
        <v>3</v>
      </c>
      <c r="B4" s="178" t="str">
        <f>CONCATENATE(C4," ","(",D4,")")</f>
        <v>Reset Tool (E84132-00)</v>
      </c>
      <c r="C4" s="178" t="s">
        <v>8</v>
      </c>
      <c r="D4" s="178" t="s">
        <v>53</v>
      </c>
      <c r="E4" s="179">
        <v>3</v>
      </c>
      <c r="F4" s="178" t="s">
        <v>20</v>
      </c>
      <c r="G4" s="180">
        <v>160</v>
      </c>
      <c r="H4" s="181">
        <v>7500</v>
      </c>
      <c r="I4" s="181">
        <f>IF(H4="UNK","",E4*H4)</f>
        <v>22500</v>
      </c>
      <c r="J4" s="179">
        <v>4</v>
      </c>
      <c r="K4" s="179" t="str">
        <f>CONCATENATE(F4,"(s)")</f>
        <v>case(s)</v>
      </c>
      <c r="L4" s="182">
        <v>5000</v>
      </c>
      <c r="M4" s="198">
        <f t="shared" ref="M4:M6" si="0">IF(L4="N/A","N/A",(L4*0.333))</f>
        <v>1665</v>
      </c>
      <c r="O4" s="123">
        <v>43383</v>
      </c>
      <c r="Q4" s="196" t="str">
        <f>DATA!$S4&amp;DATA!$T4&amp;DATA!$R4</f>
        <v>Interim MaintenanceA1</v>
      </c>
      <c r="R4" s="196">
        <f>COUNTIFS($S$2:S4,DATA!$S4,$T$2:T4,DATA!$T4)</f>
        <v>1</v>
      </c>
      <c r="S4" s="178" t="s">
        <v>70</v>
      </c>
      <c r="T4" s="178" t="s">
        <v>130</v>
      </c>
      <c r="U4" s="178" t="s">
        <v>297</v>
      </c>
      <c r="W4" s="192" t="s">
        <v>178</v>
      </c>
      <c r="X4" s="192" t="s">
        <v>179</v>
      </c>
      <c r="Y4" s="192">
        <v>400</v>
      </c>
      <c r="Z4" s="193">
        <v>0.25</v>
      </c>
      <c r="AA4" s="192">
        <v>500</v>
      </c>
      <c r="AB4" s="192">
        <v>1000</v>
      </c>
      <c r="AC4" s="192" t="s">
        <v>180</v>
      </c>
    </row>
    <row r="5" spans="1:29" x14ac:dyDescent="0.35">
      <c r="A5" s="125">
        <v>4</v>
      </c>
      <c r="B5" s="124" t="str">
        <f>CONCATENATE(C5," ","(",D5,")")</f>
        <v>Honing Tool (E84133-00)</v>
      </c>
      <c r="C5" s="124" t="s">
        <v>2</v>
      </c>
      <c r="D5" s="124" t="s">
        <v>32</v>
      </c>
      <c r="E5" s="125">
        <v>3</v>
      </c>
      <c r="F5" s="124" t="s">
        <v>20</v>
      </c>
      <c r="G5" s="126">
        <v>148</v>
      </c>
      <c r="H5" s="183">
        <v>4000</v>
      </c>
      <c r="I5" s="183">
        <f>IF(H5="UNK","",E5*H5)</f>
        <v>12000</v>
      </c>
      <c r="J5" s="125">
        <v>4</v>
      </c>
      <c r="K5" s="125" t="str">
        <f>CONCATENATE(F5,"(s)")</f>
        <v>case(s)</v>
      </c>
      <c r="L5" s="184">
        <v>5000</v>
      </c>
      <c r="M5" s="199">
        <f t="shared" si="0"/>
        <v>1665</v>
      </c>
      <c r="O5" s="123">
        <v>43383</v>
      </c>
      <c r="Q5" s="197" t="str">
        <f>DATA!$S5&amp;DATA!$T5&amp;DATA!$R5</f>
        <v>Reset MaintenanceA3</v>
      </c>
      <c r="R5" s="197">
        <f>COUNTIFS($S$2:S5,DATA!$S5,$T$2:T5,DATA!$T5)</f>
        <v>3</v>
      </c>
      <c r="S5" s="124" t="s">
        <v>69</v>
      </c>
      <c r="T5" s="124" t="s">
        <v>130</v>
      </c>
      <c r="U5" s="124" t="s">
        <v>126</v>
      </c>
      <c r="W5" s="194" t="s">
        <v>181</v>
      </c>
      <c r="X5" s="194" t="s">
        <v>182</v>
      </c>
      <c r="Y5" s="194">
        <v>250</v>
      </c>
      <c r="Z5" s="195">
        <v>0.25</v>
      </c>
      <c r="AA5" s="194">
        <v>310</v>
      </c>
      <c r="AB5" s="194">
        <v>620</v>
      </c>
      <c r="AC5" s="194" t="s">
        <v>177</v>
      </c>
    </row>
    <row r="6" spans="1:29" x14ac:dyDescent="0.35">
      <c r="A6" s="179">
        <v>5</v>
      </c>
      <c r="B6" s="178" t="str">
        <f>CONCATENATE(C6," ","(",D6,")")</f>
        <v>Polishing Tool (E84134-00)</v>
      </c>
      <c r="C6" s="178" t="s">
        <v>3</v>
      </c>
      <c r="D6" s="178" t="s">
        <v>33</v>
      </c>
      <c r="E6" s="179">
        <v>3</v>
      </c>
      <c r="F6" s="178" t="s">
        <v>20</v>
      </c>
      <c r="G6" s="180">
        <v>96</v>
      </c>
      <c r="H6" s="181">
        <v>8000</v>
      </c>
      <c r="I6" s="181">
        <f>IF(H6="UNK","",E6*H6)</f>
        <v>24000</v>
      </c>
      <c r="J6" s="179">
        <v>4</v>
      </c>
      <c r="K6" s="179" t="str">
        <f>CONCATENATE(F6,"(s)")</f>
        <v>case(s)</v>
      </c>
      <c r="L6" s="182">
        <v>7000</v>
      </c>
      <c r="M6" s="198">
        <f t="shared" si="0"/>
        <v>2331</v>
      </c>
      <c r="O6" s="123">
        <v>43383</v>
      </c>
      <c r="Q6" s="196" t="str">
        <f>DATA!$S6&amp;DATA!$T6&amp;DATA!$R6</f>
        <v>Restorative MaintenanceA1</v>
      </c>
      <c r="R6" s="196">
        <f>COUNTIFS($S$2:S6,DATA!$S6,$T$2:T6,DATA!$T6)</f>
        <v>1</v>
      </c>
      <c r="S6" s="178" t="s">
        <v>18</v>
      </c>
      <c r="T6" s="178" t="s">
        <v>130</v>
      </c>
      <c r="U6" s="178" t="s">
        <v>297</v>
      </c>
      <c r="W6" s="192" t="s">
        <v>183</v>
      </c>
      <c r="X6" s="192" t="s">
        <v>184</v>
      </c>
      <c r="Y6" s="192">
        <v>450</v>
      </c>
      <c r="Z6" s="193">
        <v>0.25</v>
      </c>
      <c r="AA6" s="192">
        <v>560</v>
      </c>
      <c r="AB6" s="192">
        <v>1120</v>
      </c>
      <c r="AC6" s="192" t="s">
        <v>184</v>
      </c>
    </row>
    <row r="7" spans="1:29" x14ac:dyDescent="0.35">
      <c r="B7" s="124"/>
      <c r="C7" s="124"/>
      <c r="D7" s="124"/>
      <c r="E7" s="124"/>
      <c r="F7" s="124"/>
      <c r="G7" s="124"/>
      <c r="H7" s="124"/>
      <c r="I7" s="124"/>
      <c r="J7" s="124"/>
      <c r="K7" s="124"/>
      <c r="L7" s="124"/>
      <c r="M7" s="143"/>
      <c r="O7" s="173"/>
      <c r="Q7" s="197" t="str">
        <f>DATA!$S7&amp;DATA!$T7&amp;DATA!$R7</f>
        <v>Interim MaintenanceA2</v>
      </c>
      <c r="R7" s="197">
        <f>COUNTIFS($S$2:S7,DATA!$S7,$T$2:T7,DATA!$T7)</f>
        <v>2</v>
      </c>
      <c r="S7" s="124" t="s">
        <v>70</v>
      </c>
      <c r="T7" s="124" t="s">
        <v>130</v>
      </c>
      <c r="U7" s="124" t="s">
        <v>300</v>
      </c>
      <c r="W7" s="194" t="s">
        <v>185</v>
      </c>
      <c r="X7" s="194" t="s">
        <v>186</v>
      </c>
      <c r="Y7" s="194">
        <v>300</v>
      </c>
      <c r="Z7" s="195">
        <v>0.25</v>
      </c>
      <c r="AA7" s="194">
        <v>380</v>
      </c>
      <c r="AB7" s="194">
        <v>760</v>
      </c>
      <c r="AC7" s="194" t="s">
        <v>187</v>
      </c>
    </row>
    <row r="8" spans="1:29" x14ac:dyDescent="0.35">
      <c r="A8" s="203" t="s">
        <v>131</v>
      </c>
      <c r="B8" s="204" t="s">
        <v>72</v>
      </c>
      <c r="C8" s="204" t="s">
        <v>22</v>
      </c>
      <c r="D8" s="204" t="s">
        <v>25</v>
      </c>
      <c r="E8" s="204" t="s">
        <v>64</v>
      </c>
      <c r="F8" s="204" t="s">
        <v>19</v>
      </c>
      <c r="G8" s="205" t="s">
        <v>24</v>
      </c>
      <c r="H8" s="204" t="s">
        <v>119</v>
      </c>
      <c r="I8" s="204" t="s">
        <v>121</v>
      </c>
      <c r="J8" s="204" t="s">
        <v>66</v>
      </c>
      <c r="K8" s="204" t="s">
        <v>80</v>
      </c>
      <c r="L8" s="204" t="s">
        <v>117</v>
      </c>
      <c r="M8" s="204" t="s">
        <v>293</v>
      </c>
      <c r="O8" s="170" t="s">
        <v>22</v>
      </c>
      <c r="Q8" s="178" t="str">
        <f>DATA!$S8&amp;DATA!$T8&amp;DATA!$R8</f>
        <v>Reset MaintenanceA4</v>
      </c>
      <c r="R8" s="196">
        <f>COUNTIFS($S$2:S8,DATA!$S8,$T$2:T8,DATA!$T8)</f>
        <v>4</v>
      </c>
      <c r="S8" s="178" t="s">
        <v>69</v>
      </c>
      <c r="T8" s="178" t="s">
        <v>130</v>
      </c>
      <c r="U8" s="178" t="s">
        <v>61</v>
      </c>
      <c r="W8" s="192" t="s">
        <v>188</v>
      </c>
      <c r="X8" s="192" t="s">
        <v>189</v>
      </c>
      <c r="Y8" s="192">
        <v>300</v>
      </c>
      <c r="Z8" s="193">
        <v>0.25</v>
      </c>
      <c r="AA8" s="192">
        <v>380</v>
      </c>
      <c r="AB8" s="192">
        <v>760</v>
      </c>
      <c r="AC8" s="192" t="s">
        <v>190</v>
      </c>
    </row>
    <row r="9" spans="1:29" x14ac:dyDescent="0.35">
      <c r="A9" s="179">
        <v>1</v>
      </c>
      <c r="B9" s="177" t="s">
        <v>153</v>
      </c>
      <c r="C9" s="178"/>
      <c r="D9" s="178"/>
      <c r="E9" s="179"/>
      <c r="F9" s="178"/>
      <c r="G9" s="180"/>
      <c r="H9" s="181"/>
      <c r="I9" s="181"/>
      <c r="J9" s="179"/>
      <c r="K9" s="179"/>
      <c r="L9" s="182"/>
      <c r="M9" s="198"/>
      <c r="O9" s="123"/>
      <c r="Q9" s="197" t="str">
        <f>DATA!$S9&amp;DATA!$T9&amp;DATA!$R9</f>
        <v>Restorative MaintenanceA2</v>
      </c>
      <c r="R9" s="197">
        <f>COUNTIFS($S$2:S9,DATA!$S9,$T$2:T9,DATA!$T9)</f>
        <v>2</v>
      </c>
      <c r="S9" s="124" t="s">
        <v>18</v>
      </c>
      <c r="T9" s="124" t="s">
        <v>130</v>
      </c>
      <c r="U9" s="124" t="s">
        <v>300</v>
      </c>
      <c r="W9" s="194" t="s">
        <v>191</v>
      </c>
      <c r="X9" s="194" t="s">
        <v>192</v>
      </c>
      <c r="Y9" s="194">
        <v>200</v>
      </c>
      <c r="Z9" s="195">
        <v>0.25</v>
      </c>
      <c r="AA9" s="194">
        <v>250</v>
      </c>
      <c r="AB9" s="194">
        <v>500</v>
      </c>
      <c r="AC9" s="194" t="s">
        <v>193</v>
      </c>
    </row>
    <row r="10" spans="1:29" x14ac:dyDescent="0.35">
      <c r="A10" s="125">
        <v>2</v>
      </c>
      <c r="B10" s="124" t="str">
        <f t="shared" ref="B10:B23" si="1">CONCATENATE(C10," ","(",D10,")")</f>
        <v>Cleaning Pad, 11" (E84111-00)</v>
      </c>
      <c r="C10" s="124" t="s">
        <v>36</v>
      </c>
      <c r="D10" s="124" t="s">
        <v>43</v>
      </c>
      <c r="E10" s="125">
        <v>5</v>
      </c>
      <c r="F10" s="124" t="s">
        <v>20</v>
      </c>
      <c r="G10" s="126">
        <v>84.8</v>
      </c>
      <c r="H10" s="127">
        <v>200000</v>
      </c>
      <c r="I10" s="183">
        <f t="shared" ref="I10:I23" si="2">IF(H10="UNK","",E10*H10)</f>
        <v>1000000</v>
      </c>
      <c r="J10" s="125">
        <v>1</v>
      </c>
      <c r="K10" s="125" t="str">
        <f t="shared" ref="K10:K23" si="3">CONCATENATE(F10,"(s)")</f>
        <v>case(s)</v>
      </c>
      <c r="L10" s="128">
        <v>20000</v>
      </c>
      <c r="M10" s="128">
        <v>20000</v>
      </c>
      <c r="O10" s="123">
        <v>43383</v>
      </c>
      <c r="Q10" s="178" t="str">
        <f>DATA!$S10&amp;DATA!$T10&amp;DATA!$R10</f>
        <v>Interim MaintenanceA3</v>
      </c>
      <c r="R10" s="196">
        <f>COUNTIFS($S$2:S10,DATA!$S10,$T$2:T10,DATA!$T10)</f>
        <v>3</v>
      </c>
      <c r="S10" s="178" t="s">
        <v>70</v>
      </c>
      <c r="T10" s="178" t="s">
        <v>130</v>
      </c>
      <c r="U10" s="178" t="s">
        <v>126</v>
      </c>
      <c r="W10" s="192" t="s">
        <v>194</v>
      </c>
      <c r="X10" s="192" t="s">
        <v>195</v>
      </c>
      <c r="Y10" s="192">
        <v>200</v>
      </c>
      <c r="Z10" s="193">
        <v>0.25</v>
      </c>
      <c r="AA10" s="192">
        <v>250</v>
      </c>
      <c r="AB10" s="192">
        <v>500</v>
      </c>
      <c r="AC10" s="192" t="s">
        <v>193</v>
      </c>
    </row>
    <row r="11" spans="1:29" x14ac:dyDescent="0.35">
      <c r="A11" s="179">
        <v>3</v>
      </c>
      <c r="B11" s="178" t="str">
        <f t="shared" si="1"/>
        <v>Cleaning Pad, 12" (E84112-00)</v>
      </c>
      <c r="C11" s="178" t="s">
        <v>37</v>
      </c>
      <c r="D11" s="178" t="s">
        <v>44</v>
      </c>
      <c r="E11" s="179">
        <v>5</v>
      </c>
      <c r="F11" s="178" t="s">
        <v>20</v>
      </c>
      <c r="G11" s="180">
        <v>87.07</v>
      </c>
      <c r="H11" s="186">
        <v>200000</v>
      </c>
      <c r="I11" s="181">
        <f t="shared" si="2"/>
        <v>1000000</v>
      </c>
      <c r="J11" s="179">
        <v>1</v>
      </c>
      <c r="K11" s="179" t="str">
        <f t="shared" si="3"/>
        <v>case(s)</v>
      </c>
      <c r="L11" s="187">
        <v>20000</v>
      </c>
      <c r="M11" s="187">
        <v>20000</v>
      </c>
      <c r="O11" s="123">
        <v>43383</v>
      </c>
      <c r="Q11" s="124" t="str">
        <f>DATA!$S11&amp;DATA!$T11&amp;DATA!$R11</f>
        <v>Reset MaintenanceA5</v>
      </c>
      <c r="R11" s="197">
        <f>COUNTIFS($S$2:S11,DATA!$S11,$T$2:T11,DATA!$T11)</f>
        <v>5</v>
      </c>
      <c r="S11" s="124" t="s">
        <v>69</v>
      </c>
      <c r="T11" s="124" t="s">
        <v>130</v>
      </c>
      <c r="U11" s="124" t="s">
        <v>148</v>
      </c>
      <c r="W11" s="194" t="s">
        <v>196</v>
      </c>
      <c r="X11" s="194" t="s">
        <v>197</v>
      </c>
      <c r="Y11" s="194">
        <v>350</v>
      </c>
      <c r="Z11" s="195">
        <v>0.15</v>
      </c>
      <c r="AA11" s="194">
        <v>400</v>
      </c>
      <c r="AB11" s="194">
        <v>800</v>
      </c>
      <c r="AC11" s="194" t="s">
        <v>197</v>
      </c>
    </row>
    <row r="12" spans="1:29" x14ac:dyDescent="0.35">
      <c r="A12" s="125">
        <v>4</v>
      </c>
      <c r="B12" s="124" t="str">
        <f t="shared" si="1"/>
        <v>Cleaning Pad, 13" (E84113-00)</v>
      </c>
      <c r="C12" s="124" t="s">
        <v>38</v>
      </c>
      <c r="D12" s="124" t="s">
        <v>45</v>
      </c>
      <c r="E12" s="125">
        <v>5</v>
      </c>
      <c r="F12" s="124" t="s">
        <v>20</v>
      </c>
      <c r="G12" s="126">
        <v>89.73</v>
      </c>
      <c r="H12" s="127">
        <v>200000</v>
      </c>
      <c r="I12" s="183">
        <f t="shared" si="2"/>
        <v>1000000</v>
      </c>
      <c r="J12" s="125">
        <v>1</v>
      </c>
      <c r="K12" s="125" t="str">
        <f t="shared" si="3"/>
        <v>case(s)</v>
      </c>
      <c r="L12" s="128">
        <v>20000</v>
      </c>
      <c r="M12" s="128">
        <v>20000</v>
      </c>
      <c r="O12" s="123">
        <v>43383</v>
      </c>
      <c r="Q12" s="178" t="str">
        <f>DATA!$S12&amp;DATA!$T12&amp;DATA!$R12</f>
        <v>Restorative MaintenanceA3</v>
      </c>
      <c r="R12" s="196">
        <f>COUNTIFS($S$2:S12,DATA!$S12,$T$2:T12,DATA!$T12)</f>
        <v>3</v>
      </c>
      <c r="S12" s="178" t="s">
        <v>18</v>
      </c>
      <c r="T12" s="178" t="s">
        <v>130</v>
      </c>
      <c r="U12" s="178" t="s">
        <v>126</v>
      </c>
      <c r="W12" s="192" t="s">
        <v>198</v>
      </c>
      <c r="X12" s="192" t="s">
        <v>199</v>
      </c>
      <c r="Y12" s="192">
        <v>200</v>
      </c>
      <c r="Z12" s="193">
        <v>0.25</v>
      </c>
      <c r="AA12" s="192">
        <v>250</v>
      </c>
      <c r="AB12" s="192">
        <v>500</v>
      </c>
      <c r="AC12" s="192" t="s">
        <v>193</v>
      </c>
    </row>
    <row r="13" spans="1:29" x14ac:dyDescent="0.35">
      <c r="A13" s="179">
        <v>5</v>
      </c>
      <c r="B13" s="178" t="str">
        <f>CONCATENATE(C13," ","(",D13,")")</f>
        <v>Cleaning Pad, 14" (E84114-00)</v>
      </c>
      <c r="C13" s="178" t="s">
        <v>135</v>
      </c>
      <c r="D13" s="178" t="s">
        <v>136</v>
      </c>
      <c r="E13" s="179">
        <v>5</v>
      </c>
      <c r="F13" s="178" t="s">
        <v>20</v>
      </c>
      <c r="G13" s="180">
        <v>98.23</v>
      </c>
      <c r="H13" s="186">
        <v>200000</v>
      </c>
      <c r="I13" s="181">
        <f>IF(H13="UNK","",E13*H13)</f>
        <v>1000000</v>
      </c>
      <c r="J13" s="179">
        <v>1</v>
      </c>
      <c r="K13" s="179" t="str">
        <f>CONCATENATE(F13,"(s)")</f>
        <v>case(s)</v>
      </c>
      <c r="L13" s="187">
        <v>20000</v>
      </c>
      <c r="M13" s="187">
        <v>20000</v>
      </c>
      <c r="O13" s="123">
        <v>43383</v>
      </c>
      <c r="Q13" s="124" t="str">
        <f>DATA!$S13&amp;DATA!$T13&amp;DATA!$R13</f>
        <v>Interim MaintenanceA4</v>
      </c>
      <c r="R13" s="197">
        <f>COUNTIFS($S$2:S13,DATA!$S13,$T$2:T13,DATA!$T13)</f>
        <v>4</v>
      </c>
      <c r="S13" s="124" t="s">
        <v>70</v>
      </c>
      <c r="T13" s="124" t="s">
        <v>130</v>
      </c>
      <c r="U13" s="191" t="s">
        <v>61</v>
      </c>
      <c r="W13" s="194" t="s">
        <v>200</v>
      </c>
      <c r="X13" s="194" t="s">
        <v>201</v>
      </c>
      <c r="Y13" s="194">
        <v>500</v>
      </c>
      <c r="Z13" s="195">
        <v>0.15</v>
      </c>
      <c r="AA13" s="194">
        <v>580</v>
      </c>
      <c r="AB13" s="194">
        <v>1160</v>
      </c>
      <c r="AC13" s="194" t="s">
        <v>202</v>
      </c>
    </row>
    <row r="14" spans="1:29" x14ac:dyDescent="0.35">
      <c r="A14" s="125">
        <v>6</v>
      </c>
      <c r="B14" s="124" t="str">
        <f t="shared" si="1"/>
        <v>Cleaning Pad, 15" (E84115-00)</v>
      </c>
      <c r="C14" s="124" t="s">
        <v>39</v>
      </c>
      <c r="D14" s="124" t="s">
        <v>46</v>
      </c>
      <c r="E14" s="125">
        <v>5</v>
      </c>
      <c r="F14" s="124" t="s">
        <v>20</v>
      </c>
      <c r="G14" s="126">
        <v>106.72</v>
      </c>
      <c r="H14" s="127">
        <v>200000</v>
      </c>
      <c r="I14" s="183">
        <f t="shared" si="2"/>
        <v>1000000</v>
      </c>
      <c r="J14" s="125">
        <v>1</v>
      </c>
      <c r="K14" s="125" t="str">
        <f t="shared" si="3"/>
        <v>case(s)</v>
      </c>
      <c r="L14" s="128">
        <v>20000</v>
      </c>
      <c r="M14" s="128">
        <v>20000</v>
      </c>
      <c r="O14" s="123">
        <v>43383</v>
      </c>
      <c r="Q14" s="196" t="str">
        <f>DATA!$S14&amp;DATA!$T14&amp;DATA!$R14</f>
        <v>Reset MaintenanceA6</v>
      </c>
      <c r="R14" s="196">
        <f>COUNTIFS($S$2:S14,DATA!$S14,$T$2:T14,DATA!$T14)</f>
        <v>6</v>
      </c>
      <c r="S14" s="178" t="s">
        <v>69</v>
      </c>
      <c r="T14" s="178" t="s">
        <v>130</v>
      </c>
      <c r="U14" s="178" t="s">
        <v>149</v>
      </c>
      <c r="W14" s="192" t="s">
        <v>203</v>
      </c>
      <c r="X14" s="192" t="s">
        <v>204</v>
      </c>
      <c r="Y14" s="192">
        <v>160</v>
      </c>
      <c r="Z14" s="193">
        <v>0.25</v>
      </c>
      <c r="AA14" s="192">
        <v>200</v>
      </c>
      <c r="AB14" s="192">
        <v>400</v>
      </c>
      <c r="AC14" s="192" t="s">
        <v>205</v>
      </c>
    </row>
    <row r="15" spans="1:29" x14ac:dyDescent="0.35">
      <c r="A15" s="179">
        <v>7</v>
      </c>
      <c r="B15" s="178" t="str">
        <f t="shared" si="1"/>
        <v>Cleaning Pad, 16" (E84116-00)</v>
      </c>
      <c r="C15" s="178" t="s">
        <v>40</v>
      </c>
      <c r="D15" s="178" t="s">
        <v>47</v>
      </c>
      <c r="E15" s="179">
        <v>5</v>
      </c>
      <c r="F15" s="178" t="s">
        <v>20</v>
      </c>
      <c r="G15" s="180">
        <v>108.67</v>
      </c>
      <c r="H15" s="186">
        <v>200000</v>
      </c>
      <c r="I15" s="181">
        <f t="shared" si="2"/>
        <v>1000000</v>
      </c>
      <c r="J15" s="179">
        <v>1</v>
      </c>
      <c r="K15" s="179" t="str">
        <f t="shared" si="3"/>
        <v>case(s)</v>
      </c>
      <c r="L15" s="187">
        <v>20000</v>
      </c>
      <c r="M15" s="187">
        <v>20000</v>
      </c>
      <c r="O15" s="123">
        <v>43383</v>
      </c>
      <c r="Q15" s="124" t="str">
        <f>DATA!$S15&amp;DATA!$T15&amp;DATA!$R15</f>
        <v>Restorative MaintenanceA4</v>
      </c>
      <c r="R15" s="197">
        <f>COUNTIFS($S$2:S15,DATA!$S15,$T$2:T15,DATA!$T15)</f>
        <v>4</v>
      </c>
      <c r="S15" s="124" t="s">
        <v>18</v>
      </c>
      <c r="T15" s="124" t="s">
        <v>130</v>
      </c>
      <c r="U15" s="124" t="s">
        <v>61</v>
      </c>
      <c r="W15" s="194" t="s">
        <v>206</v>
      </c>
      <c r="X15" s="194" t="s">
        <v>207</v>
      </c>
      <c r="Y15" s="194">
        <v>160</v>
      </c>
      <c r="Z15" s="195">
        <v>0.25</v>
      </c>
      <c r="AA15" s="194">
        <v>200</v>
      </c>
      <c r="AB15" s="194">
        <v>400</v>
      </c>
      <c r="AC15" s="194" t="s">
        <v>205</v>
      </c>
    </row>
    <row r="16" spans="1:29" x14ac:dyDescent="0.35">
      <c r="A16" s="125">
        <v>8</v>
      </c>
      <c r="B16" s="124" t="str">
        <f t="shared" si="1"/>
        <v>Cleaning Pad, 17" (E84117-00)</v>
      </c>
      <c r="C16" s="124" t="s">
        <v>41</v>
      </c>
      <c r="D16" s="124" t="s">
        <v>48</v>
      </c>
      <c r="E16" s="125">
        <v>5</v>
      </c>
      <c r="F16" s="124" t="s">
        <v>20</v>
      </c>
      <c r="G16" s="126">
        <v>115.12</v>
      </c>
      <c r="H16" s="127">
        <v>200000</v>
      </c>
      <c r="I16" s="183">
        <f t="shared" si="2"/>
        <v>1000000</v>
      </c>
      <c r="J16" s="125">
        <v>1</v>
      </c>
      <c r="K16" s="125" t="str">
        <f t="shared" si="3"/>
        <v>case(s)</v>
      </c>
      <c r="L16" s="128">
        <v>20000</v>
      </c>
      <c r="M16" s="128">
        <v>20000</v>
      </c>
      <c r="O16" s="123">
        <v>43383</v>
      </c>
      <c r="Q16" s="178" t="str">
        <f>DATA!$S16&amp;DATA!$T16&amp;DATA!$R16</f>
        <v>Interim MaintenanceA5</v>
      </c>
      <c r="R16" s="196">
        <f>COUNTIFS($S$2:S16,DATA!$S16,$T$2:T16,DATA!$T16)</f>
        <v>5</v>
      </c>
      <c r="S16" s="178" t="s">
        <v>70</v>
      </c>
      <c r="T16" s="178" t="s">
        <v>130</v>
      </c>
      <c r="U16" s="178" t="s">
        <v>148</v>
      </c>
      <c r="W16" s="192" t="s">
        <v>208</v>
      </c>
      <c r="X16" s="192" t="s">
        <v>209</v>
      </c>
      <c r="Y16" s="192">
        <v>200</v>
      </c>
      <c r="Z16" s="193">
        <v>0.25</v>
      </c>
      <c r="AA16" s="192">
        <v>250</v>
      </c>
      <c r="AB16" s="192">
        <v>500</v>
      </c>
      <c r="AC16" s="192" t="s">
        <v>210</v>
      </c>
    </row>
    <row r="17" spans="1:29" x14ac:dyDescent="0.35">
      <c r="A17" s="179">
        <v>9</v>
      </c>
      <c r="B17" s="178" t="str">
        <f t="shared" si="1"/>
        <v>Cleaning Pad, 20" (E84120-00)</v>
      </c>
      <c r="C17" s="178" t="s">
        <v>42</v>
      </c>
      <c r="D17" s="178" t="s">
        <v>49</v>
      </c>
      <c r="E17" s="179">
        <v>5</v>
      </c>
      <c r="F17" s="178" t="s">
        <v>20</v>
      </c>
      <c r="G17" s="180">
        <v>135.68</v>
      </c>
      <c r="H17" s="186">
        <v>200000</v>
      </c>
      <c r="I17" s="181">
        <f t="shared" si="2"/>
        <v>1000000</v>
      </c>
      <c r="J17" s="179">
        <v>1</v>
      </c>
      <c r="K17" s="179" t="str">
        <f t="shared" si="3"/>
        <v>case(s)</v>
      </c>
      <c r="L17" s="187">
        <v>20000</v>
      </c>
      <c r="M17" s="187">
        <v>20000</v>
      </c>
      <c r="O17" s="123">
        <v>43383</v>
      </c>
      <c r="Q17" s="124" t="str">
        <f>DATA!$S17&amp;DATA!$T17&amp;DATA!$R17</f>
        <v>Reset MaintenanceA7</v>
      </c>
      <c r="R17" s="197">
        <f>COUNTIFS($S$2:S17,DATA!$S17,$T$2:T17,DATA!$T17)</f>
        <v>7</v>
      </c>
      <c r="S17" s="124" t="s">
        <v>69</v>
      </c>
      <c r="T17" s="124" t="s">
        <v>130</v>
      </c>
      <c r="U17" s="124" t="s">
        <v>151</v>
      </c>
      <c r="W17" s="194" t="s">
        <v>211</v>
      </c>
      <c r="X17" s="194" t="s">
        <v>212</v>
      </c>
      <c r="Y17" s="194">
        <v>300</v>
      </c>
      <c r="Z17" s="195">
        <v>0.25</v>
      </c>
      <c r="AA17" s="194">
        <v>380</v>
      </c>
      <c r="AB17" s="194">
        <v>760</v>
      </c>
      <c r="AC17" s="194" t="s">
        <v>187</v>
      </c>
    </row>
    <row r="18" spans="1:29" x14ac:dyDescent="0.35">
      <c r="B18" s="122"/>
      <c r="C18" s="122"/>
      <c r="D18" s="122"/>
      <c r="E18" s="122"/>
      <c r="F18" s="122"/>
      <c r="G18" s="122"/>
      <c r="H18" s="122"/>
      <c r="I18" s="122"/>
      <c r="J18" s="122"/>
      <c r="O18" s="123"/>
      <c r="Q18" s="178" t="str">
        <f>DATA!$S18&amp;DATA!$T18&amp;DATA!$R18</f>
        <v>Restorative MaintenanceA5</v>
      </c>
      <c r="R18" s="196">
        <f>COUNTIFS($S$2:S18,DATA!$S18,$T$2:T18,DATA!$T18)</f>
        <v>5</v>
      </c>
      <c r="S18" s="178" t="s">
        <v>18</v>
      </c>
      <c r="T18" s="178" t="s">
        <v>130</v>
      </c>
      <c r="U18" s="178" t="s">
        <v>148</v>
      </c>
      <c r="W18" s="192" t="s">
        <v>213</v>
      </c>
      <c r="X18" s="192" t="s">
        <v>214</v>
      </c>
      <c r="Y18" s="192">
        <v>160</v>
      </c>
      <c r="Z18" s="193">
        <v>0.25</v>
      </c>
      <c r="AA18" s="192">
        <v>200</v>
      </c>
      <c r="AB18" s="192">
        <v>400</v>
      </c>
      <c r="AC18" s="192" t="s">
        <v>205</v>
      </c>
    </row>
    <row r="19" spans="1:29" x14ac:dyDescent="0.35">
      <c r="A19" s="203" t="s">
        <v>131</v>
      </c>
      <c r="B19" s="204" t="s">
        <v>72</v>
      </c>
      <c r="C19" s="204" t="s">
        <v>22</v>
      </c>
      <c r="D19" s="204" t="s">
        <v>25</v>
      </c>
      <c r="E19" s="204" t="s">
        <v>64</v>
      </c>
      <c r="F19" s="204" t="s">
        <v>19</v>
      </c>
      <c r="G19" s="205" t="s">
        <v>24</v>
      </c>
      <c r="H19" s="204" t="s">
        <v>119</v>
      </c>
      <c r="I19" s="204" t="s">
        <v>121</v>
      </c>
      <c r="J19" s="204" t="s">
        <v>66</v>
      </c>
      <c r="K19" s="204" t="s">
        <v>80</v>
      </c>
      <c r="L19" s="204" t="s">
        <v>117</v>
      </c>
      <c r="M19" s="204" t="s">
        <v>293</v>
      </c>
      <c r="O19" s="170" t="s">
        <v>22</v>
      </c>
      <c r="Q19" s="197" t="str">
        <f>DATA!$S19&amp;DATA!$T19&amp;DATA!$R19</f>
        <v>Interim MaintenanceA6</v>
      </c>
      <c r="R19" s="197">
        <f>COUNTIFS($S$2:S19,DATA!$S19,$T$2:T19,DATA!$T19)</f>
        <v>6</v>
      </c>
      <c r="S19" s="124" t="s">
        <v>70</v>
      </c>
      <c r="T19" s="124" t="s">
        <v>130</v>
      </c>
      <c r="U19" s="124" t="s">
        <v>149</v>
      </c>
      <c r="W19" s="194" t="s">
        <v>215</v>
      </c>
      <c r="X19" s="194" t="s">
        <v>216</v>
      </c>
      <c r="Y19" s="194">
        <v>250</v>
      </c>
      <c r="Z19" s="195">
        <v>0.25</v>
      </c>
      <c r="AA19" s="194">
        <v>310</v>
      </c>
      <c r="AB19" s="194">
        <v>620</v>
      </c>
      <c r="AC19" s="194" t="s">
        <v>177</v>
      </c>
    </row>
    <row r="20" spans="1:29" x14ac:dyDescent="0.35">
      <c r="A20" s="179">
        <v>1</v>
      </c>
      <c r="B20" s="177" t="s">
        <v>153</v>
      </c>
      <c r="C20" s="178"/>
      <c r="D20" s="178"/>
      <c r="E20" s="179"/>
      <c r="F20" s="178"/>
      <c r="G20" s="180"/>
      <c r="H20" s="181"/>
      <c r="I20" s="181"/>
      <c r="J20" s="179"/>
      <c r="K20" s="179"/>
      <c r="L20" s="182"/>
      <c r="M20" s="198"/>
      <c r="O20" s="123"/>
      <c r="Q20" s="178" t="str">
        <f>DATA!$S20&amp;DATA!$T20&amp;DATA!$R20</f>
        <v>Reset MaintenanceA8</v>
      </c>
      <c r="R20" s="196">
        <f>COUNTIFS($S$2:S20,DATA!$S20,$T$2:T20,DATA!$T20)</f>
        <v>8</v>
      </c>
      <c r="S20" s="178" t="s">
        <v>69</v>
      </c>
      <c r="T20" s="178" t="s">
        <v>130</v>
      </c>
      <c r="U20" s="178" t="s">
        <v>63</v>
      </c>
      <c r="W20" s="192" t="s">
        <v>217</v>
      </c>
      <c r="X20" s="192" t="s">
        <v>218</v>
      </c>
      <c r="Y20" s="192">
        <v>300</v>
      </c>
      <c r="Z20" s="193">
        <v>0.25</v>
      </c>
      <c r="AA20" s="192">
        <v>380</v>
      </c>
      <c r="AB20" s="192">
        <v>760</v>
      </c>
      <c r="AC20" s="192" t="s">
        <v>190</v>
      </c>
    </row>
    <row r="21" spans="1:29" x14ac:dyDescent="0.35">
      <c r="A21" s="125">
        <v>2</v>
      </c>
      <c r="B21" s="188" t="str">
        <f>CONCATENATE(C21," ","(",D21,")")</f>
        <v>Burnishing Pad, 21" (E84121-00)</v>
      </c>
      <c r="C21" s="124" t="s">
        <v>292</v>
      </c>
      <c r="D21" s="124" t="s">
        <v>50</v>
      </c>
      <c r="E21" s="125">
        <v>5</v>
      </c>
      <c r="F21" s="124" t="s">
        <v>20</v>
      </c>
      <c r="G21" s="126">
        <v>153.28</v>
      </c>
      <c r="H21" s="183">
        <v>200000</v>
      </c>
      <c r="I21" s="183">
        <f>IF(H21="UNK","",E21*H21)</f>
        <v>1000000</v>
      </c>
      <c r="J21" s="125">
        <v>1</v>
      </c>
      <c r="K21" s="125" t="str">
        <f>CONCATENATE(F21,"(s)")</f>
        <v>case(s)</v>
      </c>
      <c r="L21" s="184">
        <v>20000</v>
      </c>
      <c r="M21" s="184">
        <v>20000</v>
      </c>
      <c r="O21" s="123">
        <v>43383</v>
      </c>
      <c r="Q21" s="197" t="str">
        <f>DATA!$S21&amp;DATA!$T21&amp;DATA!$R21</f>
        <v>Restorative MaintenanceA6</v>
      </c>
      <c r="R21" s="197">
        <f>COUNTIFS($S$2:S21,DATA!$S21,$T$2:T21,DATA!$T21)</f>
        <v>6</v>
      </c>
      <c r="S21" s="124" t="s">
        <v>18</v>
      </c>
      <c r="T21" s="124" t="s">
        <v>130</v>
      </c>
      <c r="U21" s="124" t="s">
        <v>149</v>
      </c>
      <c r="W21" s="194" t="s">
        <v>219</v>
      </c>
      <c r="X21" s="194" t="s">
        <v>220</v>
      </c>
      <c r="Y21" s="194">
        <v>200</v>
      </c>
      <c r="Z21" s="195">
        <v>0.25</v>
      </c>
      <c r="AA21" s="194">
        <v>250</v>
      </c>
      <c r="AB21" s="194">
        <v>500</v>
      </c>
      <c r="AC21" s="194" t="s">
        <v>193</v>
      </c>
    </row>
    <row r="22" spans="1:29" x14ac:dyDescent="0.35">
      <c r="A22" s="179">
        <v>3</v>
      </c>
      <c r="B22" s="178" t="str">
        <f t="shared" si="1"/>
        <v>Burnishing Pad, 24" (E84124-00)</v>
      </c>
      <c r="C22" s="178" t="s">
        <v>67</v>
      </c>
      <c r="D22" s="178" t="s">
        <v>51</v>
      </c>
      <c r="E22" s="179">
        <v>5</v>
      </c>
      <c r="F22" s="178" t="s">
        <v>20</v>
      </c>
      <c r="G22" s="180">
        <v>175.52</v>
      </c>
      <c r="H22" s="186">
        <v>200000</v>
      </c>
      <c r="I22" s="181">
        <f t="shared" si="2"/>
        <v>1000000</v>
      </c>
      <c r="J22" s="179">
        <v>1</v>
      </c>
      <c r="K22" s="179" t="str">
        <f t="shared" si="3"/>
        <v>case(s)</v>
      </c>
      <c r="L22" s="187">
        <v>20000</v>
      </c>
      <c r="M22" s="187">
        <v>20000</v>
      </c>
      <c r="O22" s="123">
        <v>43383</v>
      </c>
      <c r="Q22" s="196" t="str">
        <f>DATA!$S22&amp;DATA!$T22&amp;DATA!$R22</f>
        <v>Interim MaintenanceT1</v>
      </c>
      <c r="R22" s="196">
        <f>COUNTIFS($S$2:S22,DATA!$S22,$T$2:T22,DATA!$T22)</f>
        <v>1</v>
      </c>
      <c r="S22" s="178" t="s">
        <v>70</v>
      </c>
      <c r="T22" s="178" t="s">
        <v>75</v>
      </c>
      <c r="U22" s="178" t="s">
        <v>13</v>
      </c>
      <c r="W22" s="192" t="s">
        <v>221</v>
      </c>
      <c r="X22" s="192" t="s">
        <v>222</v>
      </c>
      <c r="Y22" s="192">
        <v>300</v>
      </c>
      <c r="Z22" s="193">
        <v>0.25</v>
      </c>
      <c r="AA22" s="192">
        <v>380</v>
      </c>
      <c r="AB22" s="192">
        <v>760</v>
      </c>
      <c r="AC22" s="192" t="s">
        <v>190</v>
      </c>
    </row>
    <row r="23" spans="1:29" x14ac:dyDescent="0.35">
      <c r="A23" s="125">
        <v>4</v>
      </c>
      <c r="B23" s="124" t="str">
        <f t="shared" si="1"/>
        <v>Burnishing Pad, 27" (E84127-00)</v>
      </c>
      <c r="C23" s="124" t="s">
        <v>68</v>
      </c>
      <c r="D23" s="124" t="s">
        <v>52</v>
      </c>
      <c r="E23" s="125">
        <v>2</v>
      </c>
      <c r="F23" s="124" t="s">
        <v>20</v>
      </c>
      <c r="G23" s="126">
        <v>86.87</v>
      </c>
      <c r="H23" s="127">
        <v>200000</v>
      </c>
      <c r="I23" s="183">
        <f t="shared" si="2"/>
        <v>400000</v>
      </c>
      <c r="J23" s="125">
        <v>1</v>
      </c>
      <c r="K23" s="125" t="str">
        <f t="shared" si="3"/>
        <v>case(s)</v>
      </c>
      <c r="L23" s="128">
        <v>20000</v>
      </c>
      <c r="M23" s="128">
        <v>20000</v>
      </c>
      <c r="O23" s="123">
        <v>43383</v>
      </c>
      <c r="Q23" s="124" t="str">
        <f>DATA!$S23&amp;DATA!$T23&amp;DATA!$R23</f>
        <v>Reset MaintenanceA9</v>
      </c>
      <c r="R23" s="197">
        <f>COUNTIFS($S$2:S23,DATA!$S23,$T$2:T23,DATA!$T23)</f>
        <v>9</v>
      </c>
      <c r="S23" s="124" t="s">
        <v>69</v>
      </c>
      <c r="T23" s="124" t="s">
        <v>130</v>
      </c>
      <c r="U23" s="124" t="s">
        <v>62</v>
      </c>
      <c r="W23" s="194" t="s">
        <v>223</v>
      </c>
      <c r="X23" s="194" t="s">
        <v>224</v>
      </c>
      <c r="Y23" s="194">
        <v>160</v>
      </c>
      <c r="Z23" s="195">
        <v>0.25</v>
      </c>
      <c r="AA23" s="194">
        <v>200</v>
      </c>
      <c r="AB23" s="194">
        <v>400</v>
      </c>
      <c r="AC23" s="194" t="s">
        <v>205</v>
      </c>
    </row>
    <row r="24" spans="1:29" x14ac:dyDescent="0.35">
      <c r="B24" s="124"/>
      <c r="C24" s="124"/>
      <c r="D24" s="124"/>
      <c r="E24" s="125"/>
      <c r="F24" s="126"/>
      <c r="G24" s="126"/>
      <c r="H24" s="127"/>
      <c r="J24" s="125"/>
      <c r="K24" s="125"/>
      <c r="L24" s="128"/>
      <c r="M24" s="142"/>
      <c r="O24" s="131"/>
      <c r="Q24" s="178" t="str">
        <f>DATA!$S24&amp;DATA!$T24&amp;DATA!$R24</f>
        <v>Restorative MaintenanceP1</v>
      </c>
      <c r="R24" s="196">
        <f>COUNTIFS($S$2:S24,DATA!$S24,$T$2:T24,DATA!$T24)</f>
        <v>1</v>
      </c>
      <c r="S24" s="178" t="s">
        <v>18</v>
      </c>
      <c r="T24" s="178" t="s">
        <v>76</v>
      </c>
      <c r="U24" s="189" t="s">
        <v>12</v>
      </c>
      <c r="W24" s="192" t="s">
        <v>225</v>
      </c>
      <c r="X24" s="192" t="s">
        <v>226</v>
      </c>
      <c r="Y24" s="192">
        <v>200</v>
      </c>
      <c r="Z24" s="193">
        <v>0.25</v>
      </c>
      <c r="AA24" s="192">
        <v>250</v>
      </c>
      <c r="AB24" s="192">
        <v>500</v>
      </c>
      <c r="AC24" s="192" t="s">
        <v>210</v>
      </c>
    </row>
    <row r="25" spans="1:29" x14ac:dyDescent="0.35">
      <c r="A25" s="203" t="s">
        <v>131</v>
      </c>
      <c r="B25" s="204" t="s">
        <v>72</v>
      </c>
      <c r="C25" s="204" t="s">
        <v>1</v>
      </c>
      <c r="D25" s="204" t="s">
        <v>25</v>
      </c>
      <c r="E25" s="204" t="s">
        <v>64</v>
      </c>
      <c r="F25" s="204" t="s">
        <v>19</v>
      </c>
      <c r="G25" s="205" t="s">
        <v>24</v>
      </c>
      <c r="H25" s="204" t="s">
        <v>134</v>
      </c>
      <c r="I25" s="204" t="s">
        <v>133</v>
      </c>
      <c r="J25" s="204" t="s">
        <v>66</v>
      </c>
      <c r="K25" s="204" t="s">
        <v>80</v>
      </c>
      <c r="L25" s="204" t="s">
        <v>117</v>
      </c>
      <c r="M25" s="204" t="s">
        <v>293</v>
      </c>
      <c r="O25" s="170" t="s">
        <v>1</v>
      </c>
      <c r="Q25" s="124" t="str">
        <f>DATA!$S25&amp;DATA!$T25&amp;DATA!$R25</f>
        <v>Reset MaintenanceP1</v>
      </c>
      <c r="R25" s="197">
        <f>COUNTIFS($S$2:S25,DATA!$S25,$T$2:T25,DATA!$T25)</f>
        <v>1</v>
      </c>
      <c r="S25" s="124" t="s">
        <v>69</v>
      </c>
      <c r="T25" s="124" t="s">
        <v>76</v>
      </c>
      <c r="U25" s="124" t="s">
        <v>12</v>
      </c>
      <c r="W25" s="194" t="s">
        <v>227</v>
      </c>
      <c r="X25" s="194" t="s">
        <v>228</v>
      </c>
      <c r="Y25" s="194">
        <v>250</v>
      </c>
      <c r="Z25" s="195">
        <v>0.25</v>
      </c>
      <c r="AA25" s="194">
        <v>310</v>
      </c>
      <c r="AB25" s="194">
        <v>620</v>
      </c>
      <c r="AC25" s="194" t="s">
        <v>177</v>
      </c>
    </row>
    <row r="26" spans="1:29" x14ac:dyDescent="0.35">
      <c r="A26" s="179">
        <v>1</v>
      </c>
      <c r="B26" s="177" t="s">
        <v>153</v>
      </c>
      <c r="C26" s="178"/>
      <c r="D26" s="178"/>
      <c r="E26" s="179"/>
      <c r="F26" s="178"/>
      <c r="G26" s="180"/>
      <c r="H26" s="181"/>
      <c r="I26" s="181"/>
      <c r="J26" s="179"/>
      <c r="K26" s="179"/>
      <c r="L26" s="182"/>
      <c r="M26" s="198"/>
      <c r="O26" s="123"/>
      <c r="Q26" s="178" t="str">
        <f>DATA!$S26&amp;DATA!$T26&amp;DATA!$R26</f>
        <v>Restorative MaintenanceT1</v>
      </c>
      <c r="R26" s="196">
        <f>COUNTIFS($S$2:S26,DATA!$S26,$T$2:T26,DATA!$T26)</f>
        <v>1</v>
      </c>
      <c r="S26" s="178" t="s">
        <v>18</v>
      </c>
      <c r="T26" s="178" t="s">
        <v>75</v>
      </c>
      <c r="U26" s="189" t="s">
        <v>11</v>
      </c>
      <c r="W26" s="192" t="s">
        <v>229</v>
      </c>
      <c r="X26" s="192" t="s">
        <v>230</v>
      </c>
      <c r="Y26" s="192">
        <v>200</v>
      </c>
      <c r="Z26" s="193">
        <v>0.25</v>
      </c>
      <c r="AA26" s="192">
        <v>250</v>
      </c>
      <c r="AB26" s="192">
        <v>500</v>
      </c>
      <c r="AC26" s="192" t="s">
        <v>210</v>
      </c>
    </row>
    <row r="27" spans="1:29" x14ac:dyDescent="0.35">
      <c r="A27" s="125">
        <v>2</v>
      </c>
      <c r="B27" s="124" t="str">
        <f>CONCATENATE(C27," ","(",D27,")")</f>
        <v>LiquiGrind (167005-00)</v>
      </c>
      <c r="C27" s="124" t="s">
        <v>5</v>
      </c>
      <c r="D27" s="124" t="s">
        <v>26</v>
      </c>
      <c r="E27" s="125">
        <v>1</v>
      </c>
      <c r="F27" s="124" t="s">
        <v>9</v>
      </c>
      <c r="G27" s="126">
        <v>421.08</v>
      </c>
      <c r="H27" s="183">
        <v>1000</v>
      </c>
      <c r="I27" s="183">
        <f t="shared" ref="I27:I29" si="4">H27*5</f>
        <v>5000</v>
      </c>
      <c r="J27" s="125">
        <v>1</v>
      </c>
      <c r="K27" s="125" t="str">
        <f>IF(H27="unk","",CONCATENATE(RIGHT(F27,LEN(F27)-FIND("",F27,5)),"(s)"))</f>
        <v xml:space="preserve"> pail(s)</v>
      </c>
      <c r="L27" s="128" t="s">
        <v>65</v>
      </c>
      <c r="M27" s="128" t="s">
        <v>65</v>
      </c>
      <c r="O27" s="123">
        <v>43383</v>
      </c>
      <c r="Q27" s="124" t="str">
        <f>DATA!$S27&amp;DATA!$T27&amp;DATA!$R27</f>
        <v>Reset MaintenanceP2</v>
      </c>
      <c r="R27" s="197">
        <f>COUNTIFS($S$2:S27,DATA!$S27,$T$2:T27,DATA!$T27)</f>
        <v>2</v>
      </c>
      <c r="S27" s="124" t="s">
        <v>69</v>
      </c>
      <c r="T27" s="124" t="s">
        <v>76</v>
      </c>
      <c r="U27" s="124" t="s">
        <v>10</v>
      </c>
      <c r="W27" s="194" t="s">
        <v>231</v>
      </c>
      <c r="X27" s="194" t="s">
        <v>232</v>
      </c>
      <c r="Y27" s="194">
        <v>500</v>
      </c>
      <c r="Z27" s="195">
        <v>0.15</v>
      </c>
      <c r="AA27" s="194">
        <v>580</v>
      </c>
      <c r="AB27" s="194">
        <v>1160</v>
      </c>
      <c r="AC27" s="194" t="s">
        <v>202</v>
      </c>
    </row>
    <row r="28" spans="1:29" x14ac:dyDescent="0.35">
      <c r="A28" s="179">
        <v>3</v>
      </c>
      <c r="B28" s="178" t="str">
        <f t="shared" ref="B28:B29" si="5">CONCATENATE(C28," ","(",D28,")")</f>
        <v>Densifier (167105-00)</v>
      </c>
      <c r="C28" s="178" t="s">
        <v>0</v>
      </c>
      <c r="D28" s="178" t="s">
        <v>27</v>
      </c>
      <c r="E28" s="179">
        <v>1</v>
      </c>
      <c r="F28" s="178" t="s">
        <v>9</v>
      </c>
      <c r="G28" s="180">
        <v>245.98</v>
      </c>
      <c r="H28" s="181">
        <v>2000</v>
      </c>
      <c r="I28" s="181">
        <f t="shared" si="4"/>
        <v>10000</v>
      </c>
      <c r="J28" s="179">
        <v>5</v>
      </c>
      <c r="K28" s="179" t="str">
        <f t="shared" ref="K28:K29" si="6">IF(H28="unk","",CONCATENATE(RIGHT(F28,LEN(F28)-FIND("",F28,5)),"(s)"))</f>
        <v xml:space="preserve"> pail(s)</v>
      </c>
      <c r="L28" s="187">
        <v>2500</v>
      </c>
      <c r="M28" s="187">
        <v>2500</v>
      </c>
      <c r="O28" s="123">
        <v>43383</v>
      </c>
      <c r="Q28" s="178" t="str">
        <f>DATA!$S28&amp;DATA!$T28&amp;DATA!$R28</f>
        <v>Restorative MaintenanceP2</v>
      </c>
      <c r="R28" s="196">
        <f>COUNTIFS($S$2:S28,DATA!$S28,$T$2:T28,DATA!$T28)</f>
        <v>2</v>
      </c>
      <c r="S28" s="178" t="s">
        <v>18</v>
      </c>
      <c r="T28" s="178" t="s">
        <v>76</v>
      </c>
      <c r="U28" s="178" t="s">
        <v>10</v>
      </c>
      <c r="W28" s="192" t="s">
        <v>233</v>
      </c>
      <c r="X28" s="192" t="s">
        <v>234</v>
      </c>
      <c r="Y28" s="192">
        <v>200</v>
      </c>
      <c r="Z28" s="193">
        <v>0.25</v>
      </c>
      <c r="AA28" s="192">
        <v>250</v>
      </c>
      <c r="AB28" s="192">
        <v>500</v>
      </c>
      <c r="AC28" s="192" t="s">
        <v>210</v>
      </c>
    </row>
    <row r="29" spans="1:29" x14ac:dyDescent="0.35">
      <c r="A29" s="125">
        <v>4</v>
      </c>
      <c r="B29" s="124" t="str">
        <f t="shared" si="5"/>
        <v>Stain Defense (167205-00)</v>
      </c>
      <c r="C29" s="124" t="s">
        <v>4</v>
      </c>
      <c r="D29" s="124" t="s">
        <v>28</v>
      </c>
      <c r="E29" s="125">
        <v>1</v>
      </c>
      <c r="F29" s="124" t="s">
        <v>9</v>
      </c>
      <c r="G29" s="126">
        <v>513.78</v>
      </c>
      <c r="H29" s="183">
        <v>4000</v>
      </c>
      <c r="I29" s="183">
        <f t="shared" si="4"/>
        <v>20000</v>
      </c>
      <c r="J29" s="125">
        <v>1</v>
      </c>
      <c r="K29" s="125" t="str">
        <f t="shared" si="6"/>
        <v xml:space="preserve"> pail(s)</v>
      </c>
      <c r="L29" s="128">
        <v>2500</v>
      </c>
      <c r="M29" s="128">
        <v>2500</v>
      </c>
      <c r="O29" s="123">
        <v>43383</v>
      </c>
      <c r="Q29" s="124" t="str">
        <f>DATA!$S29&amp;DATA!$T29&amp;DATA!$R29</f>
        <v>Interim MaintenanceA7</v>
      </c>
      <c r="R29" s="197">
        <f>COUNTIFS($S$2:S29,DATA!$S29,$T$2:T29,DATA!$T29)</f>
        <v>7</v>
      </c>
      <c r="S29" s="124" t="s">
        <v>70</v>
      </c>
      <c r="T29" s="124" t="s">
        <v>130</v>
      </c>
      <c r="U29" s="124" t="s">
        <v>151</v>
      </c>
      <c r="W29" s="194" t="s">
        <v>235</v>
      </c>
      <c r="X29" s="194" t="s">
        <v>236</v>
      </c>
      <c r="Y29" s="194">
        <v>450</v>
      </c>
      <c r="Z29" s="195">
        <v>0.25</v>
      </c>
      <c r="AA29" s="194">
        <v>560</v>
      </c>
      <c r="AB29" s="194">
        <v>1120</v>
      </c>
      <c r="AC29" s="194" t="s">
        <v>180</v>
      </c>
    </row>
    <row r="30" spans="1:29" x14ac:dyDescent="0.35">
      <c r="B30" s="124"/>
      <c r="C30" s="124"/>
      <c r="D30" s="124"/>
      <c r="E30" s="125"/>
      <c r="F30" s="124"/>
      <c r="G30" s="126"/>
      <c r="H30" s="130"/>
      <c r="I30" s="125"/>
      <c r="J30" s="125"/>
      <c r="K30" s="125"/>
      <c r="L30" s="128"/>
      <c r="M30" s="142"/>
      <c r="O30" s="123"/>
      <c r="Q30" s="178" t="str">
        <f>DATA!$S30&amp;DATA!$T30&amp;DATA!$R30</f>
        <v>Reset MaintenanceP3</v>
      </c>
      <c r="R30" s="196">
        <f>COUNTIFS($S$2:S30,DATA!$S30,$T$2:T30,DATA!$T30)</f>
        <v>3</v>
      </c>
      <c r="S30" s="178" t="s">
        <v>69</v>
      </c>
      <c r="T30" s="178" t="s">
        <v>76</v>
      </c>
      <c r="U30" s="178" t="s">
        <v>14</v>
      </c>
      <c r="W30" s="192" t="s">
        <v>237</v>
      </c>
      <c r="X30" s="192" t="s">
        <v>238</v>
      </c>
      <c r="Y30" s="192">
        <v>300</v>
      </c>
      <c r="Z30" s="193">
        <v>0.25</v>
      </c>
      <c r="AA30" s="192">
        <v>380</v>
      </c>
      <c r="AB30" s="192">
        <v>760</v>
      </c>
      <c r="AC30" s="192" t="s">
        <v>190</v>
      </c>
    </row>
    <row r="31" spans="1:29" x14ac:dyDescent="0.35">
      <c r="A31" s="203" t="s">
        <v>131</v>
      </c>
      <c r="B31" s="210" t="s">
        <v>72</v>
      </c>
      <c r="C31" s="204" t="s">
        <v>129</v>
      </c>
      <c r="D31" s="204" t="s">
        <v>25</v>
      </c>
      <c r="E31" s="204" t="s">
        <v>64</v>
      </c>
      <c r="F31" s="204" t="s">
        <v>19</v>
      </c>
      <c r="G31" s="205" t="s">
        <v>24</v>
      </c>
      <c r="H31" s="204" t="s">
        <v>120</v>
      </c>
      <c r="I31" s="204" t="s">
        <v>122</v>
      </c>
      <c r="J31" s="204" t="s">
        <v>66</v>
      </c>
      <c r="K31" s="204" t="s">
        <v>80</v>
      </c>
      <c r="L31" s="204" t="s">
        <v>117</v>
      </c>
      <c r="M31" s="204" t="s">
        <v>293</v>
      </c>
      <c r="O31" s="170" t="s">
        <v>290</v>
      </c>
      <c r="Q31" s="124" t="str">
        <f>DATA!$S31&amp;DATA!$T31&amp;DATA!$R31</f>
        <v>Restorative MaintenanceT2</v>
      </c>
      <c r="R31" s="197">
        <f>COUNTIFS($S$2:S31,DATA!$S31,$T$2:T31,DATA!$T31)</f>
        <v>2</v>
      </c>
      <c r="S31" s="124" t="s">
        <v>18</v>
      </c>
      <c r="T31" s="124" t="s">
        <v>75</v>
      </c>
      <c r="U31" s="124" t="s">
        <v>13</v>
      </c>
      <c r="W31" s="194" t="s">
        <v>239</v>
      </c>
      <c r="X31" s="194" t="s">
        <v>240</v>
      </c>
      <c r="Y31" s="194">
        <v>200</v>
      </c>
      <c r="Z31" s="195">
        <v>0.25</v>
      </c>
      <c r="AA31" s="194">
        <v>250</v>
      </c>
      <c r="AB31" s="194">
        <v>500</v>
      </c>
      <c r="AC31" s="194" t="s">
        <v>193</v>
      </c>
    </row>
    <row r="32" spans="1:29" x14ac:dyDescent="0.35">
      <c r="A32" s="179">
        <v>1</v>
      </c>
      <c r="B32" s="189" t="str">
        <f>CONCATENATE(C32," ","(",D32,")")</f>
        <v>CM30 (E29805-00)</v>
      </c>
      <c r="C32" s="178" t="s">
        <v>289</v>
      </c>
      <c r="D32" s="178" t="s">
        <v>294</v>
      </c>
      <c r="E32" s="179">
        <v>1</v>
      </c>
      <c r="F32" s="178" t="s">
        <v>295</v>
      </c>
      <c r="G32" s="180">
        <v>13930</v>
      </c>
      <c r="H32" s="190" t="s">
        <v>65</v>
      </c>
      <c r="I32" s="190" t="s">
        <v>65</v>
      </c>
      <c r="J32" s="179"/>
      <c r="K32" s="179" t="s">
        <v>296</v>
      </c>
      <c r="L32" s="187" t="s">
        <v>65</v>
      </c>
      <c r="M32" s="187" t="s">
        <v>65</v>
      </c>
      <c r="O32" s="123">
        <v>43383</v>
      </c>
      <c r="Q32" s="178" t="str">
        <f>DATA!$S32&amp;DATA!$T32&amp;DATA!$R32</f>
        <v>Reset MaintenanceT1</v>
      </c>
      <c r="R32" s="196">
        <f>COUNTIFS($S$2:S32,DATA!$S32,$T$2:T32,DATA!$T32)</f>
        <v>1</v>
      </c>
      <c r="S32" s="178" t="s">
        <v>69</v>
      </c>
      <c r="T32" s="178" t="s">
        <v>75</v>
      </c>
      <c r="U32" s="178" t="s">
        <v>11</v>
      </c>
      <c r="W32" s="192" t="s">
        <v>241</v>
      </c>
      <c r="X32" s="192" t="s">
        <v>242</v>
      </c>
      <c r="Y32" s="192">
        <v>400</v>
      </c>
      <c r="Z32" s="193">
        <v>0.25</v>
      </c>
      <c r="AA32" s="192">
        <v>500</v>
      </c>
      <c r="AB32" s="192">
        <v>1000</v>
      </c>
      <c r="AC32" s="192" t="s">
        <v>180</v>
      </c>
    </row>
    <row r="33" spans="1:29" x14ac:dyDescent="0.35">
      <c r="A33" s="125">
        <v>2</v>
      </c>
      <c r="B33" s="191" t="str">
        <f>CONCATENATE(C33," ","(",D33,")")</f>
        <v>CP30 (E29810-00)</v>
      </c>
      <c r="C33" s="124" t="s">
        <v>155</v>
      </c>
      <c r="D33" s="124" t="s">
        <v>299</v>
      </c>
      <c r="E33" s="125">
        <v>1</v>
      </c>
      <c r="F33" s="126" t="s">
        <v>295</v>
      </c>
      <c r="G33" s="126">
        <v>24995</v>
      </c>
      <c r="H33" s="130" t="s">
        <v>65</v>
      </c>
      <c r="I33" s="130" t="s">
        <v>65</v>
      </c>
      <c r="J33" s="125"/>
      <c r="K33" s="125" t="str">
        <f>CONCATENATE(F33,"(s)")</f>
        <v>each(s)</v>
      </c>
      <c r="L33" s="184" t="s">
        <v>65</v>
      </c>
      <c r="M33" s="206" t="s">
        <v>65</v>
      </c>
      <c r="O33" s="123">
        <v>43383</v>
      </c>
      <c r="Q33" s="124" t="str">
        <f>DATA!$S33&amp;DATA!$T33&amp;DATA!$R33</f>
        <v>Restorative MaintenanceA7</v>
      </c>
      <c r="R33" s="197">
        <f>COUNTIFS($S$2:S33,DATA!$S33,$T$2:T33,DATA!$T33)</f>
        <v>7</v>
      </c>
      <c r="S33" s="124" t="s">
        <v>18</v>
      </c>
      <c r="T33" s="124" t="s">
        <v>130</v>
      </c>
      <c r="U33" s="124" t="s">
        <v>151</v>
      </c>
      <c r="W33" s="194" t="s">
        <v>243</v>
      </c>
      <c r="X33" s="194" t="s">
        <v>244</v>
      </c>
      <c r="Y33" s="194">
        <v>200</v>
      </c>
      <c r="Z33" s="195">
        <v>0.25</v>
      </c>
      <c r="AA33" s="194">
        <v>250</v>
      </c>
      <c r="AB33" s="194">
        <v>500</v>
      </c>
      <c r="AC33" s="194" t="s">
        <v>193</v>
      </c>
    </row>
    <row r="34" spans="1:29" x14ac:dyDescent="0.35">
      <c r="A34" s="179">
        <v>3</v>
      </c>
      <c r="B34" s="189" t="str">
        <f t="shared" ref="B34:B40" si="7">CONCATENATE(C34," ","(",D34,")")</f>
        <v>Crete Rx™ Stain Removal Kit (92411-00)</v>
      </c>
      <c r="C34" s="178" t="s">
        <v>152</v>
      </c>
      <c r="D34" s="178" t="s">
        <v>30</v>
      </c>
      <c r="E34" s="179">
        <v>12</v>
      </c>
      <c r="F34" s="178" t="s">
        <v>20</v>
      </c>
      <c r="G34" s="180">
        <v>280.48</v>
      </c>
      <c r="H34" s="190" t="s">
        <v>65</v>
      </c>
      <c r="I34" s="190" t="s">
        <v>65</v>
      </c>
      <c r="J34" s="179"/>
      <c r="K34" s="179" t="str">
        <f t="shared" ref="K34:K40" si="8">CONCATENATE(F34,"(s)")</f>
        <v>case(s)</v>
      </c>
      <c r="L34" s="187" t="s">
        <v>65</v>
      </c>
      <c r="M34" s="207" t="s">
        <v>65</v>
      </c>
      <c r="O34" s="123">
        <v>43383</v>
      </c>
      <c r="Q34" s="178" t="str">
        <f>DATA!$S34&amp;DATA!$T34&amp;DATA!$R34</f>
        <v>Interim MaintenanceP1</v>
      </c>
      <c r="R34" s="196">
        <f>COUNTIFS($S$2:S34,DATA!$S34,$T$2:T34,DATA!$T34)</f>
        <v>1</v>
      </c>
      <c r="S34" s="178" t="s">
        <v>70</v>
      </c>
      <c r="T34" s="178" t="s">
        <v>76</v>
      </c>
      <c r="U34" s="178" t="s">
        <v>14</v>
      </c>
      <c r="W34" s="192" t="s">
        <v>245</v>
      </c>
      <c r="X34" s="192" t="s">
        <v>246</v>
      </c>
      <c r="Y34" s="192">
        <v>300</v>
      </c>
      <c r="Z34" s="193">
        <v>0.25</v>
      </c>
      <c r="AA34" s="192">
        <v>380</v>
      </c>
      <c r="AB34" s="192">
        <v>760</v>
      </c>
      <c r="AC34" s="192" t="s">
        <v>190</v>
      </c>
    </row>
    <row r="35" spans="1:29" x14ac:dyDescent="0.35">
      <c r="A35" s="125">
        <v>4</v>
      </c>
      <c r="B35" s="191" t="str">
        <f t="shared" si="7"/>
        <v>CRP (E84143-00)</v>
      </c>
      <c r="C35" s="124" t="s">
        <v>54</v>
      </c>
      <c r="D35" s="124" t="s">
        <v>55</v>
      </c>
      <c r="E35" s="125">
        <v>1</v>
      </c>
      <c r="F35" s="124" t="s">
        <v>20</v>
      </c>
      <c r="G35" s="126">
        <v>833</v>
      </c>
      <c r="H35" s="130" t="s">
        <v>65</v>
      </c>
      <c r="I35" s="183" t="s">
        <v>65</v>
      </c>
      <c r="J35" s="125"/>
      <c r="K35" s="125" t="str">
        <f t="shared" si="8"/>
        <v>case(s)</v>
      </c>
      <c r="L35" s="184" t="s">
        <v>65</v>
      </c>
      <c r="M35" s="206" t="s">
        <v>65</v>
      </c>
      <c r="O35" s="123">
        <v>43383</v>
      </c>
      <c r="Q35" s="124" t="str">
        <f>DATA!$S35&amp;DATA!$T35&amp;DATA!$R35</f>
        <v>Reset MaintenanceT2</v>
      </c>
      <c r="R35" s="197">
        <f>COUNTIFS($S$2:S35,DATA!$S35,$T$2:T35,DATA!$T35)</f>
        <v>2</v>
      </c>
      <c r="S35" s="124" t="s">
        <v>69</v>
      </c>
      <c r="T35" s="124" t="s">
        <v>75</v>
      </c>
      <c r="U35" s="124" t="s">
        <v>13</v>
      </c>
      <c r="W35" s="194" t="s">
        <v>247</v>
      </c>
      <c r="X35" s="194" t="s">
        <v>248</v>
      </c>
      <c r="Y35" s="194">
        <v>200</v>
      </c>
      <c r="Z35" s="195">
        <v>0.25</v>
      </c>
      <c r="AA35" s="194">
        <v>250</v>
      </c>
      <c r="AB35" s="194">
        <v>500</v>
      </c>
      <c r="AC35" s="194" t="s">
        <v>193</v>
      </c>
    </row>
    <row r="36" spans="1:29" x14ac:dyDescent="0.35">
      <c r="A36" s="179">
        <v>5</v>
      </c>
      <c r="B36" s="189" t="str">
        <f t="shared" si="7"/>
        <v>DensiClean - 12-32 oz. (67912-00)</v>
      </c>
      <c r="C36" s="178" t="s">
        <v>146</v>
      </c>
      <c r="D36" s="178" t="s">
        <v>29</v>
      </c>
      <c r="E36" s="179">
        <v>12</v>
      </c>
      <c r="F36" s="178" t="s">
        <v>20</v>
      </c>
      <c r="G36" s="180">
        <v>159.94</v>
      </c>
      <c r="H36" s="190" t="s">
        <v>65</v>
      </c>
      <c r="I36" s="190" t="s">
        <v>65</v>
      </c>
      <c r="J36" s="179"/>
      <c r="K36" s="179" t="str">
        <f t="shared" si="8"/>
        <v>case(s)</v>
      </c>
      <c r="L36" s="187" t="s">
        <v>65</v>
      </c>
      <c r="M36" s="207" t="s">
        <v>65</v>
      </c>
      <c r="O36" s="123">
        <v>43383</v>
      </c>
      <c r="Q36" s="178" t="str">
        <f>DATA!$S36&amp;DATA!$T36&amp;DATA!$R36</f>
        <v>Restorative MaintenanceP3</v>
      </c>
      <c r="R36" s="196">
        <f>COUNTIFS($S$2:S36,DATA!$S36,$T$2:T36,DATA!$T36)</f>
        <v>3</v>
      </c>
      <c r="S36" s="178" t="s">
        <v>18</v>
      </c>
      <c r="T36" s="178" t="s">
        <v>76</v>
      </c>
      <c r="U36" s="178" t="s">
        <v>14</v>
      </c>
      <c r="W36" s="192" t="s">
        <v>249</v>
      </c>
      <c r="X36" s="192" t="s">
        <v>250</v>
      </c>
      <c r="Y36" s="192">
        <v>450</v>
      </c>
      <c r="Z36" s="193">
        <v>0.25</v>
      </c>
      <c r="AA36" s="192">
        <v>560</v>
      </c>
      <c r="AB36" s="192">
        <v>1120</v>
      </c>
      <c r="AC36" s="192" t="s">
        <v>251</v>
      </c>
    </row>
    <row r="37" spans="1:29" x14ac:dyDescent="0.35">
      <c r="A37" s="125">
        <v>6</v>
      </c>
      <c r="B37" s="191" t="str">
        <f t="shared" si="7"/>
        <v>DensiClean - 4 - 2L FastDraw (67947-00)</v>
      </c>
      <c r="C37" s="124" t="s">
        <v>147</v>
      </c>
      <c r="D37" s="124" t="s">
        <v>145</v>
      </c>
      <c r="E37" s="125">
        <v>4</v>
      </c>
      <c r="F37" s="124" t="s">
        <v>20</v>
      </c>
      <c r="G37" s="126">
        <v>245.14</v>
      </c>
      <c r="H37" s="130" t="s">
        <v>65</v>
      </c>
      <c r="I37" s="130" t="s">
        <v>65</v>
      </c>
      <c r="J37" s="125"/>
      <c r="K37" s="125" t="str">
        <f t="shared" si="8"/>
        <v>case(s)</v>
      </c>
      <c r="L37" s="128" t="s">
        <v>65</v>
      </c>
      <c r="M37" s="208" t="s">
        <v>65</v>
      </c>
      <c r="O37" s="123">
        <v>43383</v>
      </c>
      <c r="Q37" s="124" t="str">
        <f>DATA!$S37&amp;DATA!$T37&amp;DATA!$R37</f>
        <v>Reset MaintenanceT3</v>
      </c>
      <c r="R37" s="197">
        <f>COUNTIFS($S$2:S37,DATA!$S37,$T$2:T37,DATA!$T37)</f>
        <v>3</v>
      </c>
      <c r="S37" s="124" t="s">
        <v>69</v>
      </c>
      <c r="T37" s="124" t="s">
        <v>75</v>
      </c>
      <c r="U37" s="124" t="s">
        <v>21</v>
      </c>
      <c r="W37" s="194" t="s">
        <v>252</v>
      </c>
      <c r="X37" s="194" t="s">
        <v>253</v>
      </c>
      <c r="Y37" s="194">
        <v>150</v>
      </c>
      <c r="Z37" s="195">
        <v>0.25</v>
      </c>
      <c r="AA37" s="194">
        <v>190</v>
      </c>
      <c r="AB37" s="194">
        <v>380</v>
      </c>
      <c r="AC37" s="194" t="s">
        <v>253</v>
      </c>
    </row>
    <row r="38" spans="1:29" x14ac:dyDescent="0.35">
      <c r="A38" s="179">
        <v>7</v>
      </c>
      <c r="B38" s="189" t="str">
        <f t="shared" si="7"/>
        <v>Polishing Tool Spacer (E84173-00)</v>
      </c>
      <c r="C38" s="178" t="s">
        <v>34</v>
      </c>
      <c r="D38" s="178" t="s">
        <v>150</v>
      </c>
      <c r="E38" s="179">
        <v>3</v>
      </c>
      <c r="F38" s="178" t="s">
        <v>20</v>
      </c>
      <c r="G38" s="180">
        <v>12.92</v>
      </c>
      <c r="H38" s="190" t="s">
        <v>65</v>
      </c>
      <c r="I38" s="181" t="s">
        <v>65</v>
      </c>
      <c r="J38" s="179"/>
      <c r="K38" s="179" t="str">
        <f t="shared" si="8"/>
        <v>case(s)</v>
      </c>
      <c r="L38" s="182" t="s">
        <v>65</v>
      </c>
      <c r="M38" s="209" t="s">
        <v>65</v>
      </c>
      <c r="O38" s="123">
        <v>43383</v>
      </c>
      <c r="Q38" s="178" t="str">
        <f>DATA!$S38&amp;DATA!$T38&amp;DATA!$R38</f>
        <v>Interim MaintenanceA8</v>
      </c>
      <c r="R38" s="196">
        <f>COUNTIFS($S$2:S38,DATA!$S38,$T$2:T38,DATA!$T38)</f>
        <v>8</v>
      </c>
      <c r="S38" s="178" t="s">
        <v>70</v>
      </c>
      <c r="T38" s="178" t="s">
        <v>130</v>
      </c>
      <c r="U38" s="178" t="s">
        <v>63</v>
      </c>
      <c r="W38" s="192" t="s">
        <v>254</v>
      </c>
      <c r="X38" s="192" t="s">
        <v>255</v>
      </c>
      <c r="Y38" s="192">
        <v>300</v>
      </c>
      <c r="Z38" s="193">
        <v>0.25</v>
      </c>
      <c r="AA38" s="192">
        <v>380</v>
      </c>
      <c r="AB38" s="192">
        <v>760</v>
      </c>
      <c r="AC38" s="192" t="s">
        <v>187</v>
      </c>
    </row>
    <row r="39" spans="1:29" x14ac:dyDescent="0.35">
      <c r="A39" s="125">
        <v>8</v>
      </c>
      <c r="B39" s="191" t="str">
        <f t="shared" si="7"/>
        <v>TAP (E80001-00)</v>
      </c>
      <c r="C39" s="124" t="s">
        <v>59</v>
      </c>
      <c r="D39" s="124" t="s">
        <v>58</v>
      </c>
      <c r="E39" s="125">
        <v>1</v>
      </c>
      <c r="F39" s="124" t="s">
        <v>20</v>
      </c>
      <c r="G39" s="126">
        <v>164.27</v>
      </c>
      <c r="H39" s="130" t="s">
        <v>65</v>
      </c>
      <c r="I39" s="183" t="s">
        <v>65</v>
      </c>
      <c r="J39" s="125"/>
      <c r="K39" s="125" t="str">
        <f t="shared" si="8"/>
        <v>case(s)</v>
      </c>
      <c r="L39" s="184" t="s">
        <v>65</v>
      </c>
      <c r="M39" s="206" t="s">
        <v>65</v>
      </c>
      <c r="O39" s="123">
        <v>43383</v>
      </c>
      <c r="Q39" s="124" t="str">
        <f>DATA!$S39&amp;DATA!$T39&amp;DATA!$R39</f>
        <v>Reset MaintenanceT4</v>
      </c>
      <c r="R39" s="197">
        <f>COUNTIFS($S$2:S39,DATA!$S39,$T$2:T39,DATA!$T39)</f>
        <v>4</v>
      </c>
      <c r="S39" s="124" t="s">
        <v>69</v>
      </c>
      <c r="T39" s="124" t="s">
        <v>75</v>
      </c>
      <c r="U39" s="191" t="s">
        <v>60</v>
      </c>
      <c r="W39" s="194" t="s">
        <v>256</v>
      </c>
      <c r="X39" s="194" t="s">
        <v>257</v>
      </c>
      <c r="Y39" s="194">
        <v>500</v>
      </c>
      <c r="Z39" s="195">
        <v>0.15</v>
      </c>
      <c r="AA39" s="194">
        <v>580</v>
      </c>
      <c r="AB39" s="194">
        <v>1160</v>
      </c>
      <c r="AC39" s="194" t="s">
        <v>202</v>
      </c>
    </row>
    <row r="40" spans="1:29" x14ac:dyDescent="0.35">
      <c r="A40" s="179">
        <v>9</v>
      </c>
      <c r="B40" s="178" t="str">
        <f t="shared" si="7"/>
        <v>Velcro Disk Replacement Kit (E84144-00)</v>
      </c>
      <c r="C40" s="178" t="s">
        <v>56</v>
      </c>
      <c r="D40" s="178" t="s">
        <v>57</v>
      </c>
      <c r="E40" s="179">
        <v>6</v>
      </c>
      <c r="F40" s="178" t="s">
        <v>20</v>
      </c>
      <c r="G40" s="180">
        <v>4.5</v>
      </c>
      <c r="H40" s="190" t="s">
        <v>65</v>
      </c>
      <c r="I40" s="181" t="s">
        <v>65</v>
      </c>
      <c r="J40" s="179"/>
      <c r="K40" s="179" t="str">
        <f t="shared" si="8"/>
        <v>case(s)</v>
      </c>
      <c r="L40" s="182" t="s">
        <v>65</v>
      </c>
      <c r="M40" s="209" t="s">
        <v>65</v>
      </c>
      <c r="O40" s="123">
        <v>43383</v>
      </c>
      <c r="Q40" s="178" t="str">
        <f>DATA!$S40&amp;DATA!$T40&amp;DATA!$R40</f>
        <v>Restorative MaintenanceA8</v>
      </c>
      <c r="R40" s="196">
        <f>COUNTIFS($S$2:S40,DATA!$S40,$T$2:T40,DATA!$T40)</f>
        <v>8</v>
      </c>
      <c r="S40" s="178" t="s">
        <v>18</v>
      </c>
      <c r="T40" s="178" t="s">
        <v>130</v>
      </c>
      <c r="U40" s="189" t="s">
        <v>63</v>
      </c>
      <c r="W40" s="192" t="s">
        <v>258</v>
      </c>
      <c r="X40" s="192" t="s">
        <v>259</v>
      </c>
      <c r="Y40" s="192">
        <v>300</v>
      </c>
      <c r="Z40" s="193">
        <v>0.25</v>
      </c>
      <c r="AA40" s="192">
        <v>380</v>
      </c>
      <c r="AB40" s="192">
        <v>760</v>
      </c>
      <c r="AC40" s="192" t="s">
        <v>190</v>
      </c>
    </row>
    <row r="41" spans="1:29" x14ac:dyDescent="0.35">
      <c r="Q41" s="124" t="str">
        <f>DATA!$S41&amp;DATA!$T41&amp;DATA!$R41</f>
        <v>Restorative MaintenanceT3</v>
      </c>
      <c r="R41" s="197">
        <f>COUNTIFS($S$2:S41,DATA!$S41,$T$2:T41,DATA!$T41)</f>
        <v>3</v>
      </c>
      <c r="S41" s="124" t="s">
        <v>18</v>
      </c>
      <c r="T41" s="124" t="s">
        <v>75</v>
      </c>
      <c r="U41" s="191" t="s">
        <v>60</v>
      </c>
      <c r="W41" s="194" t="s">
        <v>260</v>
      </c>
      <c r="X41" s="194" t="s">
        <v>261</v>
      </c>
      <c r="Y41" s="194">
        <v>200</v>
      </c>
      <c r="Z41" s="195">
        <v>0.25</v>
      </c>
      <c r="AA41" s="194">
        <v>250</v>
      </c>
      <c r="AB41" s="194">
        <v>500</v>
      </c>
      <c r="AC41" s="194" t="s">
        <v>193</v>
      </c>
    </row>
    <row r="42" spans="1:29" ht="15.75" customHeight="1" x14ac:dyDescent="0.35">
      <c r="A42" s="203" t="s">
        <v>131</v>
      </c>
      <c r="B42" s="204" t="s">
        <v>71</v>
      </c>
      <c r="H42" s="335" t="s">
        <v>291</v>
      </c>
      <c r="I42" s="335"/>
      <c r="J42" s="335"/>
      <c r="K42" s="335"/>
      <c r="L42" s="335"/>
      <c r="M42" s="335"/>
      <c r="Q42" s="178" t="str">
        <f>DATA!$S42&amp;DATA!$T42&amp;DATA!$R42</f>
        <v>Interim MaintenanceT2</v>
      </c>
      <c r="R42" s="196">
        <f>COUNTIFS($S$2:S42,DATA!$S42,$T$2:T42,DATA!$T42)</f>
        <v>2</v>
      </c>
      <c r="S42" s="178" t="s">
        <v>70</v>
      </c>
      <c r="T42" s="178" t="s">
        <v>75</v>
      </c>
      <c r="U42" s="189" t="s">
        <v>60</v>
      </c>
      <c r="W42" s="192" t="s">
        <v>262</v>
      </c>
      <c r="X42" s="192" t="s">
        <v>263</v>
      </c>
      <c r="Y42" s="192">
        <v>350</v>
      </c>
      <c r="Z42" s="193">
        <v>0.2</v>
      </c>
      <c r="AA42" s="192">
        <v>420</v>
      </c>
      <c r="AB42" s="192">
        <v>840</v>
      </c>
      <c r="AC42" s="192" t="s">
        <v>264</v>
      </c>
    </row>
    <row r="43" spans="1:29" x14ac:dyDescent="0.35">
      <c r="A43" s="179">
        <v>1</v>
      </c>
      <c r="B43" s="177" t="s">
        <v>153</v>
      </c>
      <c r="H43" s="335"/>
      <c r="I43" s="335"/>
      <c r="J43" s="335"/>
      <c r="K43" s="335"/>
      <c r="L43" s="335"/>
      <c r="M43" s="335"/>
      <c r="Q43" s="197" t="str">
        <f>DATA!$S43&amp;DATA!$T43&amp;DATA!$R43</f>
        <v>Restorative MaintenanceA9</v>
      </c>
      <c r="R43" s="197">
        <f>COUNTIFS($S$2:S43,DATA!$S43,$T$2:T43,DATA!$T43)</f>
        <v>9</v>
      </c>
      <c r="S43" s="124" t="s">
        <v>18</v>
      </c>
      <c r="T43" s="124" t="s">
        <v>130</v>
      </c>
      <c r="U43" s="191" t="s">
        <v>62</v>
      </c>
      <c r="W43" s="194" t="s">
        <v>265</v>
      </c>
      <c r="X43" s="194" t="s">
        <v>266</v>
      </c>
      <c r="Y43" s="194">
        <v>160</v>
      </c>
      <c r="Z43" s="195">
        <v>0.25</v>
      </c>
      <c r="AA43" s="194">
        <v>200</v>
      </c>
      <c r="AB43" s="194">
        <v>400</v>
      </c>
      <c r="AC43" s="194" t="s">
        <v>205</v>
      </c>
    </row>
    <row r="44" spans="1:29" x14ac:dyDescent="0.35">
      <c r="A44" s="125">
        <v>2</v>
      </c>
      <c r="B44" s="211" t="s">
        <v>69</v>
      </c>
      <c r="H44" s="335"/>
      <c r="I44" s="335"/>
      <c r="J44" s="335"/>
      <c r="K44" s="335"/>
      <c r="L44" s="335"/>
      <c r="M44" s="335"/>
      <c r="Q44" s="196" t="str">
        <f>DATA!$S44&amp;DATA!$T44&amp;DATA!$R44</f>
        <v>Interim MaintenanceA9</v>
      </c>
      <c r="R44" s="196">
        <f>COUNTIFS($S$2:S44,DATA!$S44,$T$2:T44,DATA!$T44)</f>
        <v>9</v>
      </c>
      <c r="S44" s="178" t="s">
        <v>70</v>
      </c>
      <c r="T44" s="178" t="s">
        <v>130</v>
      </c>
      <c r="U44" s="189" t="s">
        <v>62</v>
      </c>
      <c r="W44" s="192" t="s">
        <v>267</v>
      </c>
      <c r="X44" s="192" t="s">
        <v>268</v>
      </c>
      <c r="Y44" s="192">
        <v>325</v>
      </c>
      <c r="Z44" s="193">
        <v>0.25</v>
      </c>
      <c r="AA44" s="192">
        <v>410</v>
      </c>
      <c r="AB44" s="192">
        <v>820</v>
      </c>
      <c r="AC44" s="192" t="s">
        <v>268</v>
      </c>
    </row>
    <row r="45" spans="1:29" x14ac:dyDescent="0.35">
      <c r="A45" s="179">
        <v>3</v>
      </c>
      <c r="B45" s="177" t="s">
        <v>18</v>
      </c>
      <c r="I45" s="176"/>
      <c r="J45" s="176"/>
      <c r="K45" s="176"/>
      <c r="L45" s="176"/>
      <c r="M45" s="176"/>
      <c r="W45" s="194" t="s">
        <v>269</v>
      </c>
      <c r="X45" s="194" t="s">
        <v>270</v>
      </c>
      <c r="Y45" s="194">
        <v>400</v>
      </c>
      <c r="Z45" s="195">
        <v>0.25</v>
      </c>
      <c r="AA45" s="194">
        <v>500</v>
      </c>
      <c r="AB45" s="194">
        <v>1000</v>
      </c>
      <c r="AC45" s="194" t="s">
        <v>180</v>
      </c>
    </row>
    <row r="46" spans="1:29" x14ac:dyDescent="0.35">
      <c r="A46" s="125">
        <v>4</v>
      </c>
      <c r="B46" s="211" t="s">
        <v>70</v>
      </c>
      <c r="H46" s="336" t="s">
        <v>337</v>
      </c>
      <c r="I46" s="337"/>
      <c r="J46" s="337"/>
      <c r="K46" s="337"/>
      <c r="L46" s="337"/>
      <c r="M46" s="337"/>
      <c r="W46" s="192" t="s">
        <v>271</v>
      </c>
      <c r="X46" s="192" t="s">
        <v>272</v>
      </c>
      <c r="Y46" s="192">
        <v>300</v>
      </c>
      <c r="Z46" s="193">
        <v>0.25</v>
      </c>
      <c r="AA46" s="192">
        <v>380</v>
      </c>
      <c r="AB46" s="192">
        <v>760</v>
      </c>
      <c r="AC46" s="192" t="s">
        <v>190</v>
      </c>
    </row>
    <row r="47" spans="1:29" x14ac:dyDescent="0.35">
      <c r="H47" s="337"/>
      <c r="I47" s="337"/>
      <c r="J47" s="337"/>
      <c r="K47" s="337"/>
      <c r="L47" s="337"/>
      <c r="M47" s="337"/>
      <c r="W47" s="194" t="s">
        <v>273</v>
      </c>
      <c r="X47" s="194" t="s">
        <v>274</v>
      </c>
      <c r="Y47" s="194">
        <v>200</v>
      </c>
      <c r="Z47" s="195">
        <v>0.25</v>
      </c>
      <c r="AA47" s="194">
        <v>250</v>
      </c>
      <c r="AB47" s="194">
        <v>500</v>
      </c>
      <c r="AC47" s="194" t="s">
        <v>193</v>
      </c>
    </row>
    <row r="48" spans="1:29" x14ac:dyDescent="0.35">
      <c r="A48" s="203" t="s">
        <v>131</v>
      </c>
      <c r="B48" s="204" t="s">
        <v>154</v>
      </c>
      <c r="H48" s="337"/>
      <c r="I48" s="337"/>
      <c r="J48" s="337"/>
      <c r="K48" s="337"/>
      <c r="L48" s="337"/>
      <c r="M48" s="337"/>
      <c r="W48" s="192" t="s">
        <v>275</v>
      </c>
      <c r="X48" s="192" t="s">
        <v>276</v>
      </c>
      <c r="Y48" s="192">
        <v>200</v>
      </c>
      <c r="Z48" s="193">
        <v>0.25</v>
      </c>
      <c r="AA48" s="192">
        <v>250</v>
      </c>
      <c r="AB48" s="192">
        <v>500</v>
      </c>
      <c r="AC48" s="192" t="s">
        <v>193</v>
      </c>
    </row>
    <row r="49" spans="1:29" x14ac:dyDescent="0.35">
      <c r="A49" s="179">
        <v>1</v>
      </c>
      <c r="B49" s="177" t="s">
        <v>153</v>
      </c>
      <c r="W49" s="194" t="s">
        <v>277</v>
      </c>
      <c r="X49" s="194" t="s">
        <v>278</v>
      </c>
      <c r="Y49" s="194">
        <v>200</v>
      </c>
      <c r="Z49" s="195">
        <v>0.25</v>
      </c>
      <c r="AA49" s="194">
        <v>250</v>
      </c>
      <c r="AB49" s="194">
        <v>500</v>
      </c>
      <c r="AC49" s="194" t="s">
        <v>210</v>
      </c>
    </row>
    <row r="50" spans="1:29" x14ac:dyDescent="0.35">
      <c r="A50" s="125">
        <v>2</v>
      </c>
      <c r="B50" s="211" t="s">
        <v>304</v>
      </c>
      <c r="W50" s="192" t="s">
        <v>279</v>
      </c>
      <c r="X50" s="192" t="s">
        <v>280</v>
      </c>
      <c r="Y50" s="192">
        <v>350</v>
      </c>
      <c r="Z50" s="193">
        <v>0.2</v>
      </c>
      <c r="AA50" s="192">
        <v>420</v>
      </c>
      <c r="AB50" s="192">
        <v>840</v>
      </c>
      <c r="AC50" s="192" t="s">
        <v>264</v>
      </c>
    </row>
    <row r="51" spans="1:29" x14ac:dyDescent="0.35">
      <c r="A51" s="179">
        <v>3</v>
      </c>
      <c r="B51" s="177" t="s">
        <v>156</v>
      </c>
    </row>
  </sheetData>
  <mergeCells count="2">
    <mergeCell ref="H42:M44"/>
    <mergeCell ref="H46:M48"/>
  </mergeCells>
  <pageMargins left="0.7" right="0.7" top="0.75" bottom="0.75" header="0.3" footer="0.3"/>
  <pageSetup orientation="portrait" r:id="rId1"/>
  <ignoredErrors>
    <ignoredError sqref="M10:M17 M21:M23 M27:M29" calculatedColumn="1"/>
  </ignoredErrors>
  <tableParts count="9">
    <tablePart r:id="rId2"/>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F32ADE4041E7241A2AFA96244ECD8D6" ma:contentTypeVersion="3" ma:contentTypeDescription="Create a new document." ma:contentTypeScope="" ma:versionID="ccdcc436663c78a0060620b04ef56edb">
  <xsd:schema xmlns:xsd="http://www.w3.org/2001/XMLSchema" xmlns:xs="http://www.w3.org/2001/XMLSchema" xmlns:p="http://schemas.microsoft.com/office/2006/metadata/properties" xmlns:ns2="http://schemas.microsoft.com/sharepoint/v4" targetNamespace="http://schemas.microsoft.com/office/2006/metadata/properties" ma:root="true" ma:fieldsID="23c11eee0d542004c4a7d729835418c6"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54312B7C-33D3-402F-A546-F04780B8E8B5}">
  <ds:schemaRefs>
    <ds:schemaRef ds:uri="http://schemas.microsoft.com/sharepoint/v3/contenttype/forms"/>
  </ds:schemaRefs>
</ds:datastoreItem>
</file>

<file path=customXml/itemProps2.xml><?xml version="1.0" encoding="utf-8"?>
<ds:datastoreItem xmlns:ds="http://schemas.openxmlformats.org/officeDocument/2006/customXml" ds:itemID="{06AD99B7-2B4D-45B4-9BB0-4E9E6EEB493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F3FAE43-2ABC-4635-A9C9-B926104570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927FE8-8714-460F-BD3E-6E7D59ACDD8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COST ESTIMATOR</vt:lpstr>
      <vt:lpstr>LABOR ESTIMATOR</vt:lpstr>
      <vt:lpstr>CP30 RENTAL COSTS</vt:lpstr>
      <vt:lpstr>ORDER FORM</vt:lpstr>
      <vt:lpstr>ROUTINE ONLY COST CALCULATOR</vt:lpstr>
      <vt:lpstr>DATA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Micah Petersen</dc:creator>
  <cp:lastModifiedBy>Scott Brown</cp:lastModifiedBy>
  <cp:lastPrinted>2018-07-03T15:25:34Z</cp:lastPrinted>
  <dcterms:created xsi:type="dcterms:W3CDTF">2016-04-21T20:00:21Z</dcterms:created>
  <dcterms:modified xsi:type="dcterms:W3CDTF">2019-08-27T19:17:07Z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0x0101008F32ADE4041E7241A2AFA96244ECD8D6</vt:lpwstr>
  </property>
</Properties>
</file>